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36" yWindow="105" windowWidth="11245" windowHeight="6336" tabRatio="841"/>
  </bookViews>
  <sheets>
    <sheet name="Disclaimer" sheetId="29" r:id="rId1"/>
    <sheet name="Results" sheetId="23" r:id="rId2"/>
    <sheet name="Reporting Tab" sheetId="24" r:id="rId3"/>
    <sheet name="Sensitivity Analysis" sheetId="48" r:id="rId4"/>
    <sheet name="Assumptions" sheetId="1" r:id="rId5"/>
    <sheet name="Emission Tab" sheetId="43" r:id="rId6"/>
    <sheet name="Damage Costs - Road" sheetId="47" r:id="rId7"/>
    <sheet name="Damage Costs - Rail" sheetId="45" r:id="rId8"/>
    <sheet name="Project Costs" sheetId="17" r:id="rId9"/>
    <sheet name="Demand Forecast" sheetId="18" r:id="rId10"/>
    <sheet name="Avoided Freight Train Delay " sheetId="37" r:id="rId11"/>
    <sheet name="Avoided Lost Train Services" sheetId="38" r:id="rId12"/>
    <sheet name="Reduced Travel Time " sheetId="32" r:id="rId13"/>
    <sheet name="Operating Cost Savings" sheetId="33" r:id="rId14"/>
    <sheet name="Safety" sheetId="40" r:id="rId15"/>
    <sheet name="Emissions" sheetId="41" r:id="rId16"/>
    <sheet name="Residual Value " sheetId="27" r:id="rId17"/>
    <sheet name="ACCIDENT COSTS" sheetId="2" r:id="rId18"/>
    <sheet name="VALUE OF TIME" sheetId="3" r:id="rId19"/>
    <sheet name="EMISSION COSTS" sheetId="11" r:id="rId20"/>
    <sheet name="FUEL COSTS" sheetId="5" r:id="rId21"/>
    <sheet name="OTHER VEHICLE COSTS" sheetId="6" r:id="rId22"/>
    <sheet name="MISCELLANEOUS" sheetId="7" r:id="rId23"/>
    <sheet name="Vehicle.Em" sheetId="14" r:id="rId24"/>
    <sheet name="Emission.Raw" sheetId="42" r:id="rId25"/>
    <sheet name="INFLATION ADJUSTMENT" sheetId="8" r:id="rId26"/>
    <sheet name="PRICES AND ECI" sheetId="9" r:id="rId27"/>
    <sheet name="Price Deflator" sheetId="30" r:id="rId28"/>
    <sheet name="TON CONVERSION" sheetId="10" r:id="rId29"/>
  </sheets>
  <definedNames>
    <definedName name="Client.Name">Disclaimer!$B$4</definedName>
    <definedName name="days_year">Assumptions!$D$7</definedName>
    <definedName name="grams_ton">Assumptions!$D$5</definedName>
    <definedName name="hours_day">Assumptions!$D$8</definedName>
    <definedName name="Project.Name">Disclaimer!$B$5</definedName>
  </definedNames>
  <calcPr calcId="152511"/>
</workbook>
</file>

<file path=xl/calcChain.xml><?xml version="1.0" encoding="utf-8"?>
<calcChain xmlns="http://schemas.openxmlformats.org/spreadsheetml/2006/main">
  <c r="E30" i="18" l="1"/>
  <c r="K18" i="45"/>
  <c r="H18" i="45" s="1"/>
  <c r="K17" i="45"/>
  <c r="H17" i="45"/>
  <c r="H16" i="45"/>
  <c r="D18" i="17"/>
  <c r="D177" i="24" l="1"/>
  <c r="E177" i="24"/>
  <c r="C177" i="24"/>
  <c r="E168" i="24"/>
  <c r="D168" i="24"/>
  <c r="C168" i="24"/>
  <c r="Q41" i="43"/>
  <c r="P41" i="43"/>
  <c r="N41" i="43"/>
  <c r="M41" i="43"/>
  <c r="L41" i="43"/>
  <c r="K41" i="43"/>
  <c r="J41" i="43"/>
  <c r="I41" i="43"/>
  <c r="D41" i="43"/>
  <c r="E41" i="43"/>
  <c r="F41" i="43"/>
  <c r="G41" i="43"/>
  <c r="C41" i="43"/>
  <c r="B41" i="43"/>
  <c r="D107" i="24"/>
  <c r="D106" i="24"/>
  <c r="D104" i="24"/>
  <c r="E64" i="24"/>
  <c r="F6" i="24"/>
  <c r="E187" i="24" l="1"/>
  <c r="F187" i="24"/>
  <c r="E189" i="24"/>
  <c r="F189" i="24"/>
  <c r="D189" i="24"/>
  <c r="D187" i="24"/>
  <c r="F8" i="24" l="1"/>
  <c r="E160" i="23" l="1"/>
  <c r="F160" i="23"/>
  <c r="G160" i="23"/>
  <c r="H160" i="23"/>
  <c r="I160" i="23"/>
  <c r="J160" i="23"/>
  <c r="K160" i="23"/>
  <c r="L160" i="23"/>
  <c r="M160" i="23"/>
  <c r="N160" i="23"/>
  <c r="O160" i="23"/>
  <c r="P160" i="23"/>
  <c r="Q160" i="23"/>
  <c r="R160" i="23"/>
  <c r="S160" i="23"/>
  <c r="T160" i="23"/>
  <c r="U160" i="23"/>
  <c r="V160" i="23"/>
  <c r="W160" i="23"/>
  <c r="X160" i="23"/>
  <c r="Y160" i="23"/>
  <c r="Z160" i="23"/>
  <c r="AA160" i="23"/>
  <c r="AB160" i="23"/>
  <c r="AC160" i="23"/>
  <c r="AD160" i="23"/>
  <c r="AE160" i="23"/>
  <c r="AF160" i="23"/>
  <c r="AG160" i="23"/>
  <c r="AH160" i="23"/>
  <c r="AI160" i="23"/>
  <c r="AJ160" i="23"/>
  <c r="AK160" i="23"/>
  <c r="AL160" i="23"/>
  <c r="AM160" i="23"/>
  <c r="E161" i="23"/>
  <c r="F161" i="23"/>
  <c r="G161" i="23"/>
  <c r="H161" i="23"/>
  <c r="I161" i="23"/>
  <c r="J161" i="23"/>
  <c r="K161" i="23"/>
  <c r="L161" i="23"/>
  <c r="M161" i="23"/>
  <c r="N161" i="23"/>
  <c r="O161" i="23"/>
  <c r="P161" i="23"/>
  <c r="Q161" i="23"/>
  <c r="R161" i="23"/>
  <c r="S161" i="23"/>
  <c r="T161" i="23"/>
  <c r="U161" i="23"/>
  <c r="V161" i="23"/>
  <c r="W161" i="23"/>
  <c r="X161" i="23"/>
  <c r="Y161" i="23"/>
  <c r="Z161" i="23"/>
  <c r="AA161" i="23"/>
  <c r="AB161" i="23"/>
  <c r="AC161" i="23"/>
  <c r="AD161" i="23"/>
  <c r="AE161" i="23"/>
  <c r="AF161" i="23"/>
  <c r="AG161" i="23"/>
  <c r="AH161" i="23"/>
  <c r="AI161" i="23"/>
  <c r="AJ161" i="23"/>
  <c r="AK161" i="23"/>
  <c r="AL161" i="23"/>
  <c r="AM161" i="23"/>
  <c r="D161" i="23"/>
  <c r="D160" i="23"/>
  <c r="E158" i="23"/>
  <c r="F158" i="23"/>
  <c r="G158" i="23"/>
  <c r="H158" i="23"/>
  <c r="I158" i="23"/>
  <c r="J158" i="23"/>
  <c r="K158" i="23"/>
  <c r="L158" i="23"/>
  <c r="M158" i="23"/>
  <c r="N158" i="23"/>
  <c r="O158" i="23"/>
  <c r="P158" i="23"/>
  <c r="Q158" i="23"/>
  <c r="R158" i="23"/>
  <c r="S158" i="23"/>
  <c r="T158" i="23"/>
  <c r="U158" i="23"/>
  <c r="V158" i="23"/>
  <c r="W158" i="23"/>
  <c r="X158" i="23"/>
  <c r="Y158" i="23"/>
  <c r="Z158" i="23"/>
  <c r="AA158" i="23"/>
  <c r="AB158" i="23"/>
  <c r="AC158" i="23"/>
  <c r="AD158" i="23"/>
  <c r="AE158" i="23"/>
  <c r="AF158" i="23"/>
  <c r="AG158" i="23"/>
  <c r="AH158" i="23"/>
  <c r="AI158" i="23"/>
  <c r="AJ158" i="23"/>
  <c r="AK158" i="23"/>
  <c r="AL158" i="23"/>
  <c r="AM158" i="23"/>
  <c r="D158" i="23"/>
  <c r="AM121" i="23"/>
  <c r="AL121" i="23"/>
  <c r="AK121" i="23"/>
  <c r="AJ121" i="23"/>
  <c r="AI121" i="23"/>
  <c r="AH121" i="23"/>
  <c r="AG121" i="23"/>
  <c r="AF121" i="23"/>
  <c r="AE121" i="23"/>
  <c r="AD121" i="23"/>
  <c r="AC121" i="23"/>
  <c r="AB121" i="23"/>
  <c r="AA121" i="23"/>
  <c r="Z121" i="23"/>
  <c r="Y121" i="23"/>
  <c r="X121" i="23"/>
  <c r="W121" i="23"/>
  <c r="V121" i="23"/>
  <c r="U121" i="23"/>
  <c r="T121" i="23"/>
  <c r="S121" i="23"/>
  <c r="R121" i="23"/>
  <c r="Q121" i="23"/>
  <c r="P121" i="23"/>
  <c r="O121" i="23"/>
  <c r="N121" i="23"/>
  <c r="M121" i="23"/>
  <c r="L121" i="23"/>
  <c r="K121" i="23"/>
  <c r="J121" i="23"/>
  <c r="I121" i="23"/>
  <c r="H121" i="23"/>
  <c r="G121" i="23"/>
  <c r="F121" i="23"/>
  <c r="E121" i="23"/>
  <c r="AM120" i="23"/>
  <c r="AL120" i="23"/>
  <c r="AK120" i="23"/>
  <c r="AJ120" i="23"/>
  <c r="AI120" i="23"/>
  <c r="AH120" i="23"/>
  <c r="AG120" i="23"/>
  <c r="AF120" i="23"/>
  <c r="AE120" i="23"/>
  <c r="AD120" i="23"/>
  <c r="AC120" i="23"/>
  <c r="AB120" i="23"/>
  <c r="AA120" i="23"/>
  <c r="Z120" i="23"/>
  <c r="Y120" i="23"/>
  <c r="X120" i="23"/>
  <c r="W120" i="23"/>
  <c r="V120" i="23"/>
  <c r="U120" i="23"/>
  <c r="T120" i="23"/>
  <c r="S120" i="23"/>
  <c r="R120" i="23"/>
  <c r="Q120" i="23"/>
  <c r="P120" i="23"/>
  <c r="O120" i="23"/>
  <c r="N120" i="23"/>
  <c r="M120" i="23"/>
  <c r="L120" i="23"/>
  <c r="K120" i="23"/>
  <c r="J120" i="23"/>
  <c r="I120" i="23"/>
  <c r="H120" i="23"/>
  <c r="G120" i="23"/>
  <c r="F120" i="23"/>
  <c r="E120" i="23"/>
  <c r="D121" i="23"/>
  <c r="D120" i="23"/>
  <c r="E117" i="23"/>
  <c r="F117" i="23"/>
  <c r="G117" i="23"/>
  <c r="H117" i="23"/>
  <c r="I117" i="23"/>
  <c r="J117" i="23"/>
  <c r="K117" i="23"/>
  <c r="L117" i="23"/>
  <c r="M117" i="23"/>
  <c r="N117" i="23"/>
  <c r="O117" i="23"/>
  <c r="P117" i="23"/>
  <c r="Q117" i="23"/>
  <c r="R117" i="23"/>
  <c r="S117" i="23"/>
  <c r="T117" i="23"/>
  <c r="U117" i="23"/>
  <c r="V117" i="23"/>
  <c r="W117" i="23"/>
  <c r="X117" i="23"/>
  <c r="Y117" i="23"/>
  <c r="Z117" i="23"/>
  <c r="AA117" i="23"/>
  <c r="AB117" i="23"/>
  <c r="AC117" i="23"/>
  <c r="AD117" i="23"/>
  <c r="AE117" i="23"/>
  <c r="AF117" i="23"/>
  <c r="AG117" i="23"/>
  <c r="AH117" i="23"/>
  <c r="AI117" i="23"/>
  <c r="AJ117" i="23"/>
  <c r="AK117" i="23"/>
  <c r="AL117" i="23"/>
  <c r="AM117" i="23"/>
  <c r="E118" i="23"/>
  <c r="F118" i="23"/>
  <c r="G118" i="23"/>
  <c r="H118" i="23"/>
  <c r="I118" i="23"/>
  <c r="J118" i="23"/>
  <c r="K118" i="23"/>
  <c r="L118" i="23"/>
  <c r="M118" i="23"/>
  <c r="N118" i="23"/>
  <c r="O118" i="23"/>
  <c r="P118" i="23"/>
  <c r="Q118" i="23"/>
  <c r="R118" i="23"/>
  <c r="S118" i="23"/>
  <c r="T118" i="23"/>
  <c r="U118" i="23"/>
  <c r="V118" i="23"/>
  <c r="W118" i="23"/>
  <c r="X118" i="23"/>
  <c r="Y118" i="23"/>
  <c r="Z118" i="23"/>
  <c r="AA118" i="23"/>
  <c r="AB118" i="23"/>
  <c r="AC118" i="23"/>
  <c r="AD118" i="23"/>
  <c r="AE118" i="23"/>
  <c r="AF118" i="23"/>
  <c r="AG118" i="23"/>
  <c r="AH118" i="23"/>
  <c r="AI118" i="23"/>
  <c r="AJ118" i="23"/>
  <c r="AK118" i="23"/>
  <c r="AL118" i="23"/>
  <c r="AM118" i="23"/>
  <c r="D117" i="23"/>
  <c r="D118" i="23"/>
  <c r="D169" i="23"/>
  <c r="D81" i="23" s="1"/>
  <c r="B28" i="24"/>
  <c r="E94" i="23"/>
  <c r="F94" i="23"/>
  <c r="G94" i="23"/>
  <c r="H94" i="23"/>
  <c r="I94" i="23"/>
  <c r="J94" i="23"/>
  <c r="K94" i="23"/>
  <c r="L94" i="23"/>
  <c r="M94" i="23"/>
  <c r="N94" i="23"/>
  <c r="O94" i="23"/>
  <c r="P94" i="23"/>
  <c r="Q94" i="23"/>
  <c r="R94" i="23"/>
  <c r="S94" i="23"/>
  <c r="T94" i="23"/>
  <c r="U94" i="23"/>
  <c r="V94" i="23"/>
  <c r="W94" i="23"/>
  <c r="X94" i="23"/>
  <c r="Y94" i="23"/>
  <c r="Z94" i="23"/>
  <c r="AA94" i="23"/>
  <c r="AB94" i="23"/>
  <c r="AC94" i="23"/>
  <c r="AD94" i="23"/>
  <c r="AE94" i="23"/>
  <c r="AF94" i="23"/>
  <c r="AG94" i="23"/>
  <c r="AH94" i="23"/>
  <c r="AI94" i="23"/>
  <c r="AJ94" i="23"/>
  <c r="AK94" i="23"/>
  <c r="AL94" i="23"/>
  <c r="AM94" i="23"/>
  <c r="D94" i="23"/>
  <c r="D9" i="27"/>
  <c r="C9" i="27"/>
  <c r="B29" i="24" l="1"/>
  <c r="B30" i="24" l="1"/>
  <c r="C22" i="45"/>
  <c r="C8" i="45"/>
  <c r="C7" i="45"/>
  <c r="C40" i="45" s="1"/>
  <c r="C6" i="45"/>
  <c r="F14" i="38"/>
  <c r="G14" i="38"/>
  <c r="H14" i="38"/>
  <c r="I14" i="38"/>
  <c r="J14" i="38"/>
  <c r="K14" i="38"/>
  <c r="L14" i="38"/>
  <c r="M14" i="38"/>
  <c r="N14" i="38"/>
  <c r="O14" i="38"/>
  <c r="P14" i="38"/>
  <c r="Q14" i="38"/>
  <c r="R14" i="38"/>
  <c r="S14" i="38"/>
  <c r="T14" i="38"/>
  <c r="U14" i="38"/>
  <c r="V14" i="38"/>
  <c r="W14" i="38"/>
  <c r="X14" i="38"/>
  <c r="Y14" i="38"/>
  <c r="Z14" i="38"/>
  <c r="AA14" i="38"/>
  <c r="AB14" i="38"/>
  <c r="AC14" i="38"/>
  <c r="AD14" i="38"/>
  <c r="AE14" i="38"/>
  <c r="AF14" i="38"/>
  <c r="AG14" i="38"/>
  <c r="AH14" i="38"/>
  <c r="AI14" i="38"/>
  <c r="AJ14" i="38"/>
  <c r="AK14" i="38"/>
  <c r="AL14" i="38"/>
  <c r="AM14" i="38"/>
  <c r="AN14" i="38"/>
  <c r="D14" i="38"/>
  <c r="E14" i="38"/>
  <c r="E13" i="38"/>
  <c r="D13" i="38"/>
  <c r="B31" i="24" l="1"/>
  <c r="D18" i="33"/>
  <c r="D25" i="32"/>
  <c r="D37" i="24" l="1"/>
  <c r="E37" i="24" s="1"/>
  <c r="F37" i="24" s="1"/>
  <c r="G37" i="24" s="1"/>
  <c r="C108" i="23" l="1"/>
  <c r="C135" i="23"/>
  <c r="C95" i="23"/>
  <c r="C43" i="23"/>
  <c r="D67" i="1" l="1"/>
  <c r="B49" i="47" l="1"/>
  <c r="B48" i="47"/>
  <c r="B47" i="47"/>
  <c r="B46" i="47"/>
  <c r="B45" i="47"/>
  <c r="B44" i="47"/>
  <c r="B43" i="47"/>
  <c r="B63" i="47"/>
  <c r="B62" i="47"/>
  <c r="B61" i="47"/>
  <c r="B60" i="47"/>
  <c r="B59" i="47"/>
  <c r="B58" i="47"/>
  <c r="B57" i="47"/>
  <c r="B77" i="47"/>
  <c r="B76" i="47"/>
  <c r="B75" i="47"/>
  <c r="B74" i="47"/>
  <c r="B73" i="47"/>
  <c r="B72" i="47"/>
  <c r="B71" i="47"/>
  <c r="K11" i="17" l="1"/>
  <c r="L11" i="17"/>
  <c r="M11" i="17"/>
  <c r="N11" i="17"/>
  <c r="O11" i="17"/>
  <c r="P11" i="17"/>
  <c r="Q11" i="17"/>
  <c r="R11" i="17"/>
  <c r="S11" i="17"/>
  <c r="T11" i="17"/>
  <c r="U11" i="17"/>
  <c r="V11" i="17"/>
  <c r="W11" i="17"/>
  <c r="X11" i="17"/>
  <c r="Y11" i="17"/>
  <c r="Z11" i="17"/>
  <c r="AA11" i="17"/>
  <c r="AB11" i="17"/>
  <c r="AC11" i="17"/>
  <c r="AD11" i="17"/>
  <c r="AE11" i="17"/>
  <c r="AF11" i="17"/>
  <c r="AG11" i="17"/>
  <c r="AH11" i="17"/>
  <c r="AI11" i="17"/>
  <c r="AJ11" i="17"/>
  <c r="AK11" i="17"/>
  <c r="AL11" i="17"/>
  <c r="AM11" i="17"/>
  <c r="K14" i="17"/>
  <c r="L14" i="17"/>
  <c r="M14" i="17"/>
  <c r="N14" i="17"/>
  <c r="O14" i="17"/>
  <c r="P14" i="17"/>
  <c r="Q14" i="17"/>
  <c r="R14" i="17"/>
  <c r="S14" i="17"/>
  <c r="T14" i="17"/>
  <c r="U14" i="17"/>
  <c r="V14" i="17"/>
  <c r="W14" i="17"/>
  <c r="X14" i="17"/>
  <c r="Y14" i="17"/>
  <c r="Z14" i="17"/>
  <c r="AA14" i="17"/>
  <c r="AB14" i="17"/>
  <c r="AC14" i="17"/>
  <c r="AD14" i="17"/>
  <c r="AE14" i="17"/>
  <c r="AF14" i="17"/>
  <c r="AG14" i="17"/>
  <c r="AG18" i="17" s="1"/>
  <c r="AG42" i="23" s="1"/>
  <c r="AH14" i="17"/>
  <c r="AI14" i="17"/>
  <c r="AJ14" i="17"/>
  <c r="AK14" i="17"/>
  <c r="AL14" i="17"/>
  <c r="AM14" i="17"/>
  <c r="K15" i="17"/>
  <c r="L15" i="17"/>
  <c r="M15" i="17"/>
  <c r="N15" i="17"/>
  <c r="O15" i="17"/>
  <c r="P15" i="17"/>
  <c r="Q15" i="17"/>
  <c r="R15" i="17"/>
  <c r="S15" i="17"/>
  <c r="T15" i="17"/>
  <c r="U15" i="17"/>
  <c r="V15" i="17"/>
  <c r="W15" i="17"/>
  <c r="X15" i="17"/>
  <c r="Y15" i="17"/>
  <c r="Z15" i="17"/>
  <c r="AA15" i="17"/>
  <c r="AB15" i="17"/>
  <c r="AC15" i="17"/>
  <c r="AD15" i="17"/>
  <c r="AE15" i="17"/>
  <c r="AF15" i="17"/>
  <c r="AG15" i="17"/>
  <c r="AH15" i="17"/>
  <c r="AI15" i="17"/>
  <c r="AJ15" i="17"/>
  <c r="AK15" i="17"/>
  <c r="AL15" i="17"/>
  <c r="AM15" i="17"/>
  <c r="K16" i="17"/>
  <c r="L16" i="17"/>
  <c r="M16" i="17"/>
  <c r="N16" i="17"/>
  <c r="O16" i="17"/>
  <c r="P16" i="17"/>
  <c r="Q16" i="17"/>
  <c r="R16" i="17"/>
  <c r="S16" i="17"/>
  <c r="T16" i="17"/>
  <c r="U16" i="17"/>
  <c r="V16" i="17"/>
  <c r="W16" i="17"/>
  <c r="X16" i="17"/>
  <c r="Y16" i="17"/>
  <c r="Z16" i="17"/>
  <c r="AA16" i="17"/>
  <c r="AB16" i="17"/>
  <c r="AC16" i="17"/>
  <c r="AD16" i="17"/>
  <c r="AE16" i="17"/>
  <c r="AF16" i="17"/>
  <c r="AG16" i="17"/>
  <c r="AH16" i="17"/>
  <c r="AI16" i="17"/>
  <c r="AJ16" i="17"/>
  <c r="AK16" i="17"/>
  <c r="AL16" i="17"/>
  <c r="AM16"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AJ17" i="17"/>
  <c r="AK17" i="17"/>
  <c r="AL17" i="17"/>
  <c r="AM17" i="17"/>
  <c r="AO3" i="27"/>
  <c r="AO12" i="27" s="1"/>
  <c r="J11" i="17"/>
  <c r="I11" i="17"/>
  <c r="H11" i="17"/>
  <c r="G11" i="17"/>
  <c r="F11" i="17"/>
  <c r="E11" i="17"/>
  <c r="D11" i="17"/>
  <c r="AN4" i="41"/>
  <c r="AN22" i="41"/>
  <c r="AN4" i="33"/>
  <c r="AN4" i="32"/>
  <c r="D48" i="23"/>
  <c r="D67" i="23" s="1"/>
  <c r="D100" i="23"/>
  <c r="D113" i="23" s="1"/>
  <c r="D140" i="23"/>
  <c r="D153" i="23" s="1"/>
  <c r="E29" i="23"/>
  <c r="E167" i="23"/>
  <c r="E169" i="23" s="1"/>
  <c r="E81" i="23" s="1"/>
  <c r="E127" i="23"/>
  <c r="E140" i="23" s="1"/>
  <c r="E153" i="23" s="1"/>
  <c r="E87" i="23"/>
  <c r="E100" i="23" s="1"/>
  <c r="E113" i="23" s="1"/>
  <c r="AN4" i="38"/>
  <c r="AK134" i="23" l="1"/>
  <c r="AG134" i="23"/>
  <c r="AC134" i="23"/>
  <c r="Y134" i="23"/>
  <c r="U134" i="23"/>
  <c r="Q134" i="23"/>
  <c r="M134" i="23"/>
  <c r="AL96" i="23"/>
  <c r="U18" i="17"/>
  <c r="U42" i="23" s="1"/>
  <c r="AJ134" i="23"/>
  <c r="AF134" i="23"/>
  <c r="AB134" i="23"/>
  <c r="X134" i="23"/>
  <c r="T134" i="23"/>
  <c r="P134" i="23"/>
  <c r="L134" i="23"/>
  <c r="AC18" i="17"/>
  <c r="AC42" i="23" s="1"/>
  <c r="Y18" i="17"/>
  <c r="Y42" i="23" s="1"/>
  <c r="M18" i="17"/>
  <c r="M42" i="23" s="1"/>
  <c r="Q18" i="17"/>
  <c r="Q42" i="23" s="1"/>
  <c r="AM134" i="23"/>
  <c r="AI134" i="23"/>
  <c r="AE134" i="23"/>
  <c r="AA134" i="23"/>
  <c r="W134" i="23"/>
  <c r="S134" i="23"/>
  <c r="O134" i="23"/>
  <c r="K134" i="23"/>
  <c r="AK18" i="17"/>
  <c r="AK42" i="23" s="1"/>
  <c r="AL134" i="23"/>
  <c r="AH134" i="23"/>
  <c r="AD134" i="23"/>
  <c r="Z134" i="23"/>
  <c r="V134" i="23"/>
  <c r="R134" i="23"/>
  <c r="N134" i="23"/>
  <c r="AM96" i="23"/>
  <c r="C11" i="17"/>
  <c r="AL18" i="17"/>
  <c r="AL42" i="23" s="1"/>
  <c r="AH18" i="17"/>
  <c r="AH42" i="23" s="1"/>
  <c r="AD18" i="17"/>
  <c r="AD42" i="23" s="1"/>
  <c r="Z18" i="17"/>
  <c r="Z42" i="23" s="1"/>
  <c r="V18" i="17"/>
  <c r="V42" i="23" s="1"/>
  <c r="R18" i="17"/>
  <c r="R42" i="23" s="1"/>
  <c r="N18" i="17"/>
  <c r="N42" i="23" s="1"/>
  <c r="AJ18" i="17"/>
  <c r="AJ42" i="23" s="1"/>
  <c r="AF18" i="17"/>
  <c r="AF42" i="23" s="1"/>
  <c r="AB18" i="17"/>
  <c r="AB42" i="23" s="1"/>
  <c r="X18" i="17"/>
  <c r="X42" i="23" s="1"/>
  <c r="T18" i="17"/>
  <c r="T42" i="23" s="1"/>
  <c r="P18" i="17"/>
  <c r="P42" i="23" s="1"/>
  <c r="L18" i="17"/>
  <c r="L42" i="23" s="1"/>
  <c r="AM18" i="17"/>
  <c r="AM42" i="23" s="1"/>
  <c r="AI18" i="17"/>
  <c r="AI42" i="23" s="1"/>
  <c r="AE18" i="17"/>
  <c r="AE42" i="23" s="1"/>
  <c r="AA18" i="17"/>
  <c r="AA42" i="23" s="1"/>
  <c r="W18" i="17"/>
  <c r="W42" i="23" s="1"/>
  <c r="S18" i="17"/>
  <c r="S42" i="23" s="1"/>
  <c r="O18" i="17"/>
  <c r="O42" i="23" s="1"/>
  <c r="K18" i="17"/>
  <c r="K42" i="23" s="1"/>
  <c r="AL136" i="23" l="1"/>
  <c r="AM136" i="23"/>
  <c r="AM44" i="23"/>
  <c r="AL44" i="23"/>
  <c r="F167" i="23"/>
  <c r="C168" i="23"/>
  <c r="D168" i="23" s="1"/>
  <c r="H15" i="47"/>
  <c r="C77" i="47"/>
  <c r="D77" i="47" s="1"/>
  <c r="C76" i="47"/>
  <c r="D76" i="47" s="1"/>
  <c r="C75" i="47"/>
  <c r="D75" i="47" s="1"/>
  <c r="C74" i="47"/>
  <c r="C73" i="47"/>
  <c r="D73" i="47" s="1"/>
  <c r="C72" i="47"/>
  <c r="D72" i="47" s="1"/>
  <c r="C71" i="47"/>
  <c r="D71" i="47" s="1"/>
  <c r="I71" i="47" s="1"/>
  <c r="D70" i="47"/>
  <c r="C63" i="47"/>
  <c r="D63" i="47" s="1"/>
  <c r="C62" i="47"/>
  <c r="D62" i="47" s="1"/>
  <c r="C61" i="47"/>
  <c r="C60" i="47"/>
  <c r="D60" i="47" s="1"/>
  <c r="C59" i="47"/>
  <c r="D59" i="47" s="1"/>
  <c r="D58" i="47"/>
  <c r="C58" i="47"/>
  <c r="C57" i="47"/>
  <c r="D56" i="47"/>
  <c r="D49" i="47"/>
  <c r="C49" i="47"/>
  <c r="C48" i="47"/>
  <c r="C47" i="47"/>
  <c r="D47" i="47" s="1"/>
  <c r="C46" i="47"/>
  <c r="D46" i="47" s="1"/>
  <c r="C45" i="47"/>
  <c r="D45" i="47" s="1"/>
  <c r="C44" i="47"/>
  <c r="C43" i="47"/>
  <c r="D43" i="47" s="1"/>
  <c r="D42" i="47"/>
  <c r="I28" i="47"/>
  <c r="H28" i="47"/>
  <c r="G28" i="47"/>
  <c r="F28" i="47"/>
  <c r="E28" i="47"/>
  <c r="D28" i="47"/>
  <c r="C28" i="47"/>
  <c r="I27" i="47"/>
  <c r="H27" i="47"/>
  <c r="G27" i="47"/>
  <c r="F27" i="47"/>
  <c r="E27" i="47"/>
  <c r="D27" i="47"/>
  <c r="C27" i="47"/>
  <c r="F98" i="45"/>
  <c r="C98" i="45"/>
  <c r="C97" i="45"/>
  <c r="C96" i="45"/>
  <c r="D96" i="45" s="1"/>
  <c r="B96" i="45" s="1"/>
  <c r="C95" i="45"/>
  <c r="C94" i="45"/>
  <c r="C93" i="45"/>
  <c r="D92" i="45"/>
  <c r="C92" i="45"/>
  <c r="D91" i="45"/>
  <c r="C84" i="45"/>
  <c r="C83" i="45"/>
  <c r="C82" i="45"/>
  <c r="C81" i="45"/>
  <c r="D81" i="45" s="1"/>
  <c r="B81" i="45" s="1"/>
  <c r="C80" i="45"/>
  <c r="C79" i="45"/>
  <c r="C78" i="45"/>
  <c r="D78" i="45" s="1"/>
  <c r="B78" i="45" s="1"/>
  <c r="D77" i="45"/>
  <c r="C70" i="45"/>
  <c r="C69" i="45"/>
  <c r="D69" i="45" s="1"/>
  <c r="B69" i="45" s="1"/>
  <c r="D68" i="45"/>
  <c r="C68" i="45"/>
  <c r="C67" i="45"/>
  <c r="D67" i="45" s="1"/>
  <c r="B67" i="45" s="1"/>
  <c r="C66" i="45"/>
  <c r="D65" i="45"/>
  <c r="B65" i="45" s="1"/>
  <c r="C65" i="45"/>
  <c r="C64" i="45"/>
  <c r="D64" i="45" s="1"/>
  <c r="D63" i="45"/>
  <c r="C56" i="45"/>
  <c r="D31" i="45"/>
  <c r="E31" i="45"/>
  <c r="F31" i="45"/>
  <c r="G31" i="45"/>
  <c r="H31" i="45"/>
  <c r="I31" i="45"/>
  <c r="D32" i="45"/>
  <c r="E32" i="45"/>
  <c r="F32" i="45"/>
  <c r="G32" i="45"/>
  <c r="H32" i="45"/>
  <c r="I32" i="45"/>
  <c r="C32" i="45"/>
  <c r="C31" i="45"/>
  <c r="C55" i="45"/>
  <c r="C54" i="45"/>
  <c r="D54" i="45" s="1"/>
  <c r="B54" i="45" s="1"/>
  <c r="C53" i="45"/>
  <c r="C52" i="45"/>
  <c r="D52" i="45" s="1"/>
  <c r="B52" i="45" s="1"/>
  <c r="C51" i="45"/>
  <c r="C50" i="45"/>
  <c r="D49" i="45"/>
  <c r="I68" i="45" l="1"/>
  <c r="B68" i="45"/>
  <c r="E98" i="45"/>
  <c r="G167" i="23"/>
  <c r="G169" i="23" s="1"/>
  <c r="G81" i="23" s="1"/>
  <c r="F169" i="23"/>
  <c r="F81" i="23" s="1"/>
  <c r="I64" i="45"/>
  <c r="B64" i="45"/>
  <c r="I92" i="45"/>
  <c r="B92" i="45"/>
  <c r="D62" i="23"/>
  <c r="D148" i="23"/>
  <c r="F168" i="23"/>
  <c r="E168" i="23"/>
  <c r="I43" i="47"/>
  <c r="I46" i="47"/>
  <c r="I60" i="47"/>
  <c r="I59" i="47"/>
  <c r="I63" i="47"/>
  <c r="I76" i="47"/>
  <c r="I47" i="47"/>
  <c r="I72" i="47"/>
  <c r="I73" i="47"/>
  <c r="I77" i="47"/>
  <c r="D48" i="47"/>
  <c r="D57" i="47"/>
  <c r="D74" i="47"/>
  <c r="D44" i="47"/>
  <c r="D61" i="47"/>
  <c r="I78" i="45"/>
  <c r="D79" i="45"/>
  <c r="D83" i="45"/>
  <c r="B83" i="45" s="1"/>
  <c r="D95" i="45"/>
  <c r="D56" i="45"/>
  <c r="B56" i="45" s="1"/>
  <c r="D82" i="45"/>
  <c r="D93" i="45"/>
  <c r="D97" i="45"/>
  <c r="I65" i="45"/>
  <c r="I69" i="45"/>
  <c r="D94" i="45"/>
  <c r="B94" i="45" s="1"/>
  <c r="D98" i="45"/>
  <c r="D80" i="45"/>
  <c r="B80" i="45" s="1"/>
  <c r="D84" i="45"/>
  <c r="B84" i="45" s="1"/>
  <c r="D66" i="45"/>
  <c r="D70" i="45"/>
  <c r="D50" i="45"/>
  <c r="D53" i="45"/>
  <c r="D55" i="45"/>
  <c r="D51" i="45"/>
  <c r="H23" i="45"/>
  <c r="I70" i="45" l="1"/>
  <c r="B70" i="45"/>
  <c r="I97" i="45"/>
  <c r="B97" i="45"/>
  <c r="I66" i="45"/>
  <c r="B66" i="45"/>
  <c r="I93" i="45"/>
  <c r="B93" i="45"/>
  <c r="I98" i="45"/>
  <c r="B98" i="45"/>
  <c r="I53" i="45"/>
  <c r="B53" i="45"/>
  <c r="I82" i="45"/>
  <c r="B82" i="45"/>
  <c r="I79" i="45"/>
  <c r="B79" i="45"/>
  <c r="I52" i="45"/>
  <c r="B51" i="45"/>
  <c r="I96" i="45"/>
  <c r="B95" i="45"/>
  <c r="I55" i="45"/>
  <c r="B55" i="45"/>
  <c r="H167" i="23"/>
  <c r="H169" i="23" s="1"/>
  <c r="H81" i="23" s="1"/>
  <c r="G168" i="23"/>
  <c r="D122" i="23"/>
  <c r="I50" i="45"/>
  <c r="B50" i="45"/>
  <c r="I18" i="45"/>
  <c r="D15" i="47"/>
  <c r="I17" i="45"/>
  <c r="H29" i="47"/>
  <c r="F15" i="47"/>
  <c r="E15" i="47"/>
  <c r="G15" i="47"/>
  <c r="G29" i="47" s="1"/>
  <c r="I15" i="47"/>
  <c r="I29" i="47" s="1"/>
  <c r="F148" i="23"/>
  <c r="E148" i="23"/>
  <c r="I58" i="47"/>
  <c r="I57" i="47"/>
  <c r="I75" i="47"/>
  <c r="I74" i="47"/>
  <c r="I62" i="47"/>
  <c r="I61" i="47"/>
  <c r="I45" i="47"/>
  <c r="I44" i="47"/>
  <c r="I49" i="47"/>
  <c r="I48" i="47"/>
  <c r="I51" i="45"/>
  <c r="I83" i="45"/>
  <c r="G17" i="45"/>
  <c r="I84" i="45"/>
  <c r="I67" i="45"/>
  <c r="I95" i="45"/>
  <c r="I94" i="45"/>
  <c r="I81" i="45"/>
  <c r="I80" i="45"/>
  <c r="I54" i="45"/>
  <c r="I56" i="45"/>
  <c r="H35" i="45"/>
  <c r="H34" i="45"/>
  <c r="D17" i="45"/>
  <c r="D34" i="45" s="1"/>
  <c r="D18" i="45"/>
  <c r="F17" i="45"/>
  <c r="E17" i="45"/>
  <c r="F18" i="45"/>
  <c r="E18" i="45"/>
  <c r="C18" i="45"/>
  <c r="C23" i="45" s="1"/>
  <c r="G18" i="45"/>
  <c r="E138" i="24"/>
  <c r="E137" i="24"/>
  <c r="E136" i="24"/>
  <c r="E135" i="24"/>
  <c r="E134" i="24"/>
  <c r="D136" i="24"/>
  <c r="D135" i="24"/>
  <c r="E96" i="24"/>
  <c r="D65" i="1"/>
  <c r="F23" i="45" l="1"/>
  <c r="E23" i="45"/>
  <c r="H40" i="45"/>
  <c r="D35" i="45"/>
  <c r="D40" i="45" s="1"/>
  <c r="D23" i="45"/>
  <c r="G35" i="45"/>
  <c r="G23" i="45"/>
  <c r="I23" i="45"/>
  <c r="F122" i="23"/>
  <c r="H168" i="23"/>
  <c r="G148" i="23"/>
  <c r="G122" i="23"/>
  <c r="I167" i="23"/>
  <c r="I169" i="23" s="1"/>
  <c r="I81" i="23" s="1"/>
  <c r="E122" i="23"/>
  <c r="H148" i="23"/>
  <c r="J167" i="23"/>
  <c r="J169" i="23" s="1"/>
  <c r="J81" i="23" s="1"/>
  <c r="I168" i="23"/>
  <c r="I35" i="45"/>
  <c r="I34" i="45"/>
  <c r="G34" i="45"/>
  <c r="F34" i="45"/>
  <c r="F35" i="45"/>
  <c r="E34" i="45"/>
  <c r="E35" i="45"/>
  <c r="F40" i="45" l="1"/>
  <c r="G40" i="45"/>
  <c r="I40" i="45"/>
  <c r="E40" i="45"/>
  <c r="H122" i="23"/>
  <c r="I148" i="23"/>
  <c r="K167" i="23"/>
  <c r="K169" i="23" s="1"/>
  <c r="J168" i="23"/>
  <c r="I122" i="23" l="1"/>
  <c r="K81" i="23"/>
  <c r="K80" i="23"/>
  <c r="J148" i="23"/>
  <c r="K168" i="23"/>
  <c r="L167" i="23"/>
  <c r="L169" i="23" s="1"/>
  <c r="D76" i="1"/>
  <c r="D75" i="1"/>
  <c r="K82" i="23" l="1"/>
  <c r="J122" i="23"/>
  <c r="L81" i="23"/>
  <c r="L80" i="23"/>
  <c r="K148" i="23"/>
  <c r="M167" i="23"/>
  <c r="M169" i="23" s="1"/>
  <c r="L168" i="23"/>
  <c r="D77" i="1"/>
  <c r="E117" i="24"/>
  <c r="E116" i="24"/>
  <c r="D117" i="24"/>
  <c r="D116" i="24"/>
  <c r="E115" i="24"/>
  <c r="E114" i="24"/>
  <c r="E113" i="24"/>
  <c r="E111" i="24"/>
  <c r="D114" i="24"/>
  <c r="D113" i="24"/>
  <c r="L82" i="23" l="1"/>
  <c r="K122" i="23"/>
  <c r="M81" i="23"/>
  <c r="M80" i="23"/>
  <c r="L148" i="23"/>
  <c r="N167" i="23"/>
  <c r="N169" i="23" s="1"/>
  <c r="M168" i="23"/>
  <c r="C5" i="38"/>
  <c r="D134" i="24"/>
  <c r="D34" i="1"/>
  <c r="H24" i="45" s="1"/>
  <c r="L122" i="23" l="1"/>
  <c r="M82" i="23"/>
  <c r="N81" i="23"/>
  <c r="N80" i="23"/>
  <c r="F93" i="45"/>
  <c r="D24" i="45"/>
  <c r="H41" i="45"/>
  <c r="E93" i="45" s="1"/>
  <c r="E24" i="45"/>
  <c r="F24" i="45"/>
  <c r="I24" i="45"/>
  <c r="G24" i="45"/>
  <c r="M148" i="23"/>
  <c r="O167" i="23"/>
  <c r="O169" i="23" s="1"/>
  <c r="N168" i="23"/>
  <c r="E124" i="24"/>
  <c r="D124" i="24"/>
  <c r="E123" i="24"/>
  <c r="E122" i="24"/>
  <c r="D123" i="24"/>
  <c r="D122" i="24"/>
  <c r="M122" i="23" l="1"/>
  <c r="O81" i="23"/>
  <c r="O80" i="23"/>
  <c r="N82" i="23"/>
  <c r="F96" i="45"/>
  <c r="E41" i="45"/>
  <c r="E96" i="45" s="1"/>
  <c r="G41" i="45"/>
  <c r="E94" i="45" s="1"/>
  <c r="G94" i="45" s="1"/>
  <c r="J94" i="45" s="1"/>
  <c r="F94" i="45"/>
  <c r="H94" i="45" s="1"/>
  <c r="K94" i="45" s="1"/>
  <c r="D41" i="45"/>
  <c r="E97" i="45" s="1"/>
  <c r="G98" i="45" s="1"/>
  <c r="J98" i="45" s="1"/>
  <c r="F97" i="45"/>
  <c r="H98" i="45" s="1"/>
  <c r="K98" i="45" s="1"/>
  <c r="F92" i="45"/>
  <c r="I41" i="45"/>
  <c r="E92" i="45" s="1"/>
  <c r="F95" i="45"/>
  <c r="H96" i="45" s="1"/>
  <c r="K96" i="45" s="1"/>
  <c r="F41" i="45"/>
  <c r="E95" i="45" s="1"/>
  <c r="N148" i="23"/>
  <c r="O168" i="23"/>
  <c r="P167" i="23"/>
  <c r="P169" i="23" s="1"/>
  <c r="E143" i="24"/>
  <c r="E142" i="24"/>
  <c r="D143" i="24"/>
  <c r="D142" i="24"/>
  <c r="E150" i="24"/>
  <c r="E148" i="24"/>
  <c r="E130" i="24"/>
  <c r="E98" i="24"/>
  <c r="E99" i="24"/>
  <c r="E100" i="24"/>
  <c r="D97" i="24"/>
  <c r="E97" i="24"/>
  <c r="D98" i="24"/>
  <c r="D100" i="24"/>
  <c r="E129" i="24"/>
  <c r="E128" i="24"/>
  <c r="E95" i="24"/>
  <c r="D96" i="24"/>
  <c r="D95" i="24"/>
  <c r="E94" i="24"/>
  <c r="E93" i="24"/>
  <c r="E92" i="24"/>
  <c r="D94" i="24"/>
  <c r="D93" i="24"/>
  <c r="D92" i="24"/>
  <c r="E90" i="24"/>
  <c r="E89" i="24"/>
  <c r="D89" i="24"/>
  <c r="E84" i="24"/>
  <c r="E83" i="24"/>
  <c r="D84" i="24"/>
  <c r="D83" i="24"/>
  <c r="E82" i="24"/>
  <c r="E81" i="24"/>
  <c r="D82" i="24"/>
  <c r="D81" i="24"/>
  <c r="E80" i="24"/>
  <c r="D80" i="24"/>
  <c r="E79" i="24"/>
  <c r="E78" i="24"/>
  <c r="D79" i="24"/>
  <c r="D78" i="24"/>
  <c r="E88" i="24"/>
  <c r="E87" i="24"/>
  <c r="E86" i="24"/>
  <c r="E77" i="24"/>
  <c r="D88" i="24"/>
  <c r="D87" i="24"/>
  <c r="D86" i="24"/>
  <c r="D77" i="24"/>
  <c r="D71" i="24"/>
  <c r="D70" i="24"/>
  <c r="D69" i="24"/>
  <c r="G96" i="45" l="1"/>
  <c r="J96" i="45" s="1"/>
  <c r="O82" i="23"/>
  <c r="N122" i="23"/>
  <c r="P81" i="23"/>
  <c r="P80" i="23"/>
  <c r="H97" i="45"/>
  <c r="K97" i="45" s="1"/>
  <c r="G93" i="45"/>
  <c r="J93" i="45" s="1"/>
  <c r="E91" i="45"/>
  <c r="G92" i="45"/>
  <c r="J92" i="45" s="1"/>
  <c r="H95" i="45"/>
  <c r="K95" i="45" s="1"/>
  <c r="H93" i="45"/>
  <c r="K93" i="45" s="1"/>
  <c r="H92" i="45"/>
  <c r="K92" i="45" s="1"/>
  <c r="F91" i="45"/>
  <c r="G95" i="45"/>
  <c r="J95" i="45" s="1"/>
  <c r="G97" i="45"/>
  <c r="J97" i="45" s="1"/>
  <c r="O148" i="23"/>
  <c r="Q167" i="23"/>
  <c r="Q169" i="23" s="1"/>
  <c r="P168" i="23"/>
  <c r="I18" i="23"/>
  <c r="G18" i="23"/>
  <c r="F18" i="23"/>
  <c r="C18" i="23"/>
  <c r="E37" i="40"/>
  <c r="F37" i="40" s="1"/>
  <c r="G37" i="40" s="1"/>
  <c r="H37" i="40" s="1"/>
  <c r="I37" i="40" s="1"/>
  <c r="J37" i="40" s="1"/>
  <c r="K37" i="40" s="1"/>
  <c r="L37" i="40" s="1"/>
  <c r="M37" i="40" s="1"/>
  <c r="N37" i="40" s="1"/>
  <c r="O37" i="40" s="1"/>
  <c r="P37" i="40" s="1"/>
  <c r="Q37" i="40" s="1"/>
  <c r="R37" i="40" s="1"/>
  <c r="S37" i="40" s="1"/>
  <c r="T37" i="40" s="1"/>
  <c r="U37" i="40" s="1"/>
  <c r="V37" i="40" s="1"/>
  <c r="W37" i="40" s="1"/>
  <c r="X37" i="40" s="1"/>
  <c r="Y37" i="40" s="1"/>
  <c r="Z37" i="40" s="1"/>
  <c r="AA37" i="40" s="1"/>
  <c r="AB37" i="40" s="1"/>
  <c r="AC37" i="40" s="1"/>
  <c r="AD37" i="40" s="1"/>
  <c r="AE37" i="40" s="1"/>
  <c r="AF37" i="40" s="1"/>
  <c r="AG37" i="40" s="1"/>
  <c r="AH37" i="40" s="1"/>
  <c r="AI37" i="40" s="1"/>
  <c r="AJ37" i="40" s="1"/>
  <c r="AK37" i="40" s="1"/>
  <c r="AL37" i="40" s="1"/>
  <c r="AM37" i="40" s="1"/>
  <c r="E26" i="40"/>
  <c r="F26" i="40" s="1"/>
  <c r="G26" i="40" s="1"/>
  <c r="H26" i="40" s="1"/>
  <c r="I26" i="40" s="1"/>
  <c r="J26" i="40" s="1"/>
  <c r="K26" i="40" s="1"/>
  <c r="L26" i="40" s="1"/>
  <c r="M26" i="40" s="1"/>
  <c r="N26" i="40" s="1"/>
  <c r="O26" i="40" s="1"/>
  <c r="P26" i="40" s="1"/>
  <c r="Q26" i="40" s="1"/>
  <c r="R26" i="40" s="1"/>
  <c r="S26" i="40" s="1"/>
  <c r="T26" i="40" s="1"/>
  <c r="U26" i="40" s="1"/>
  <c r="V26" i="40" s="1"/>
  <c r="W26" i="40" s="1"/>
  <c r="X26" i="40" s="1"/>
  <c r="Y26" i="40" s="1"/>
  <c r="Z26" i="40" s="1"/>
  <c r="AA26" i="40" s="1"/>
  <c r="AB26" i="40" s="1"/>
  <c r="AC26" i="40" s="1"/>
  <c r="AD26" i="40" s="1"/>
  <c r="AE26" i="40" s="1"/>
  <c r="AF26" i="40" s="1"/>
  <c r="AG26" i="40" s="1"/>
  <c r="AH26" i="40" s="1"/>
  <c r="AI26" i="40" s="1"/>
  <c r="AJ26" i="40" s="1"/>
  <c r="AK26" i="40" s="1"/>
  <c r="AL26" i="40" s="1"/>
  <c r="AM26" i="40" s="1"/>
  <c r="E15" i="40"/>
  <c r="F15" i="40" s="1"/>
  <c r="G15" i="40" s="1"/>
  <c r="H15" i="40" s="1"/>
  <c r="I15" i="40" s="1"/>
  <c r="J15" i="40" s="1"/>
  <c r="K15" i="40" s="1"/>
  <c r="L15" i="40" s="1"/>
  <c r="M15" i="40" s="1"/>
  <c r="N15" i="40" s="1"/>
  <c r="O15" i="40" s="1"/>
  <c r="P15" i="40" s="1"/>
  <c r="Q15" i="40" s="1"/>
  <c r="R15" i="40" s="1"/>
  <c r="S15" i="40" s="1"/>
  <c r="T15" i="40" s="1"/>
  <c r="U15" i="40" s="1"/>
  <c r="V15" i="40" s="1"/>
  <c r="W15" i="40" s="1"/>
  <c r="X15" i="40" s="1"/>
  <c r="Y15" i="40" s="1"/>
  <c r="Z15" i="40" s="1"/>
  <c r="AA15" i="40" s="1"/>
  <c r="AB15" i="40" s="1"/>
  <c r="AC15" i="40" s="1"/>
  <c r="AD15" i="40" s="1"/>
  <c r="AE15" i="40" s="1"/>
  <c r="AF15" i="40" s="1"/>
  <c r="AG15" i="40" s="1"/>
  <c r="AH15" i="40" s="1"/>
  <c r="AI15" i="40" s="1"/>
  <c r="AJ15" i="40" s="1"/>
  <c r="AK15" i="40" s="1"/>
  <c r="AL15" i="40" s="1"/>
  <c r="AM15" i="40" s="1"/>
  <c r="C13" i="40"/>
  <c r="C10" i="40"/>
  <c r="C8" i="40"/>
  <c r="D54" i="1"/>
  <c r="D115" i="24" s="1"/>
  <c r="D51" i="1"/>
  <c r="D50" i="1"/>
  <c r="C12" i="40"/>
  <c r="O122" i="23" l="1"/>
  <c r="Q81" i="23"/>
  <c r="Q80" i="23"/>
  <c r="P82" i="23"/>
  <c r="K99" i="45"/>
  <c r="C9" i="40"/>
  <c r="J99" i="45"/>
  <c r="P148" i="23"/>
  <c r="R167" i="23"/>
  <c r="R169" i="23" s="1"/>
  <c r="Q168" i="23"/>
  <c r="C6" i="40"/>
  <c r="D111" i="24"/>
  <c r="C7" i="40"/>
  <c r="D112" i="24"/>
  <c r="F127" i="23"/>
  <c r="F140" i="23" s="1"/>
  <c r="F153" i="23" s="1"/>
  <c r="F87" i="23"/>
  <c r="E4" i="40"/>
  <c r="C4" i="40"/>
  <c r="J100" i="45" l="1"/>
  <c r="P122" i="23"/>
  <c r="R81" i="23"/>
  <c r="R80" i="23"/>
  <c r="Q82" i="23"/>
  <c r="Q148" i="23"/>
  <c r="S167" i="23"/>
  <c r="S169" i="23" s="1"/>
  <c r="R168" i="23"/>
  <c r="G127" i="23"/>
  <c r="G140" i="23" s="1"/>
  <c r="G153" i="23" s="1"/>
  <c r="F100" i="23"/>
  <c r="F113" i="23" s="1"/>
  <c r="G87" i="23"/>
  <c r="F4" i="40"/>
  <c r="R82" i="23" l="1"/>
  <c r="Q122" i="23"/>
  <c r="S81" i="23"/>
  <c r="S80" i="23"/>
  <c r="R148" i="23"/>
  <c r="H127" i="23"/>
  <c r="H140" i="23" s="1"/>
  <c r="H153" i="23" s="1"/>
  <c r="S168" i="23"/>
  <c r="T167" i="23"/>
  <c r="T169" i="23" s="1"/>
  <c r="G100" i="23"/>
  <c r="G113" i="23" s="1"/>
  <c r="H87" i="23"/>
  <c r="G4" i="40"/>
  <c r="S82" i="23" l="1"/>
  <c r="R122" i="23"/>
  <c r="I127" i="23"/>
  <c r="I140" i="23" s="1"/>
  <c r="I153" i="23" s="1"/>
  <c r="T81" i="23"/>
  <c r="T80" i="23"/>
  <c r="S148" i="23"/>
  <c r="U167" i="23"/>
  <c r="U169" i="23" s="1"/>
  <c r="T168" i="23"/>
  <c r="H100" i="23"/>
  <c r="H113" i="23" s="1"/>
  <c r="I87" i="23"/>
  <c r="H4" i="40"/>
  <c r="J127" i="23" l="1"/>
  <c r="J140" i="23" s="1"/>
  <c r="J153" i="23" s="1"/>
  <c r="T82" i="23"/>
  <c r="S122" i="23"/>
  <c r="U81" i="23"/>
  <c r="U80" i="23"/>
  <c r="T148" i="23"/>
  <c r="V167" i="23"/>
  <c r="V169" i="23" s="1"/>
  <c r="U168" i="23"/>
  <c r="I100" i="23"/>
  <c r="I113" i="23" s="1"/>
  <c r="J87" i="23"/>
  <c r="I4" i="40"/>
  <c r="T122" i="23" l="1"/>
  <c r="K127" i="23"/>
  <c r="L127" i="23" s="1"/>
  <c r="V81" i="23"/>
  <c r="V80" i="23"/>
  <c r="V82" i="23" s="1"/>
  <c r="U82" i="23"/>
  <c r="U148" i="23"/>
  <c r="W167" i="23"/>
  <c r="W169" i="23" s="1"/>
  <c r="V168" i="23"/>
  <c r="J100" i="23"/>
  <c r="J113" i="23" s="1"/>
  <c r="K87" i="23"/>
  <c r="J4" i="40"/>
  <c r="K140" i="23" l="1"/>
  <c r="K153" i="23" s="1"/>
  <c r="U122" i="23"/>
  <c r="W81" i="23"/>
  <c r="W80" i="23"/>
  <c r="V148" i="23"/>
  <c r="W168" i="23"/>
  <c r="X167" i="23"/>
  <c r="X169" i="23" s="1"/>
  <c r="L140" i="23"/>
  <c r="L153" i="23" s="1"/>
  <c r="M127" i="23"/>
  <c r="K100" i="23"/>
  <c r="K113" i="23" s="1"/>
  <c r="L87" i="23"/>
  <c r="K4" i="40"/>
  <c r="W82" i="23" l="1"/>
  <c r="V122" i="23"/>
  <c r="X81" i="23"/>
  <c r="X80" i="23"/>
  <c r="X82" i="23" s="1"/>
  <c r="W148" i="23"/>
  <c r="Y167" i="23"/>
  <c r="Y169" i="23" s="1"/>
  <c r="X168" i="23"/>
  <c r="M140" i="23"/>
  <c r="M153" i="23" s="1"/>
  <c r="N127" i="23"/>
  <c r="L100" i="23"/>
  <c r="L113" i="23" s="1"/>
  <c r="M87" i="23"/>
  <c r="L4" i="40"/>
  <c r="W122" i="23" l="1"/>
  <c r="Y81" i="23"/>
  <c r="Y80" i="23"/>
  <c r="X148" i="23"/>
  <c r="Z167" i="23"/>
  <c r="Z169" i="23" s="1"/>
  <c r="Y168" i="23"/>
  <c r="N140" i="23"/>
  <c r="N153" i="23" s="1"/>
  <c r="O127" i="23"/>
  <c r="M100" i="23"/>
  <c r="M113" i="23" s="1"/>
  <c r="N87" i="23"/>
  <c r="M4" i="40"/>
  <c r="Y82" i="23" l="1"/>
  <c r="X122" i="23"/>
  <c r="Z81" i="23"/>
  <c r="Z80" i="23"/>
  <c r="Z82" i="23" s="1"/>
  <c r="Y148" i="23"/>
  <c r="AA167" i="23"/>
  <c r="AA169" i="23" s="1"/>
  <c r="Z168" i="23"/>
  <c r="O140" i="23"/>
  <c r="O153" i="23" s="1"/>
  <c r="P127" i="23"/>
  <c r="N100" i="23"/>
  <c r="N113" i="23" s="1"/>
  <c r="O87" i="23"/>
  <c r="N4" i="40"/>
  <c r="Y122" i="23" l="1"/>
  <c r="AA81" i="23"/>
  <c r="AA80" i="23"/>
  <c r="Z148" i="23"/>
  <c r="AA168" i="23"/>
  <c r="AB167" i="23"/>
  <c r="AB169" i="23" s="1"/>
  <c r="P140" i="23"/>
  <c r="P153" i="23" s="1"/>
  <c r="Q127" i="23"/>
  <c r="O100" i="23"/>
  <c r="O113" i="23" s="1"/>
  <c r="P87" i="23"/>
  <c r="O4" i="40"/>
  <c r="AA82" i="23" l="1"/>
  <c r="Z122" i="23"/>
  <c r="AB81" i="23"/>
  <c r="AB80" i="23"/>
  <c r="AA148" i="23"/>
  <c r="AC167" i="23"/>
  <c r="AC169" i="23" s="1"/>
  <c r="AB168" i="23"/>
  <c r="Q140" i="23"/>
  <c r="Q153" i="23" s="1"/>
  <c r="R127" i="23"/>
  <c r="Q87" i="23"/>
  <c r="P100" i="23"/>
  <c r="P113" i="23" s="1"/>
  <c r="P4" i="40"/>
  <c r="AB82" i="23" l="1"/>
  <c r="AA122" i="23"/>
  <c r="AC81" i="23"/>
  <c r="AC80" i="23"/>
  <c r="AB148" i="23"/>
  <c r="AD167" i="23"/>
  <c r="AD169" i="23" s="1"/>
  <c r="AC168" i="23"/>
  <c r="R140" i="23"/>
  <c r="R153" i="23" s="1"/>
  <c r="S127" i="23"/>
  <c r="Q100" i="23"/>
  <c r="Q113" i="23" s="1"/>
  <c r="R87" i="23"/>
  <c r="Q4" i="40"/>
  <c r="AB122" i="23" l="1"/>
  <c r="AD81" i="23"/>
  <c r="AD80" i="23"/>
  <c r="AC82" i="23"/>
  <c r="AC148" i="23"/>
  <c r="AE167" i="23"/>
  <c r="AE169" i="23" s="1"/>
  <c r="AD168" i="23"/>
  <c r="T127" i="23"/>
  <c r="S140" i="23"/>
  <c r="S153" i="23" s="1"/>
  <c r="R100" i="23"/>
  <c r="R113" i="23" s="1"/>
  <c r="S87" i="23"/>
  <c r="R4" i="40"/>
  <c r="AD82" i="23" l="1"/>
  <c r="AC122" i="23"/>
  <c r="AE81" i="23"/>
  <c r="AE80" i="23"/>
  <c r="AD148" i="23"/>
  <c r="AE168" i="23"/>
  <c r="AF167" i="23"/>
  <c r="AF169" i="23" s="1"/>
  <c r="T140" i="23"/>
  <c r="T153" i="23" s="1"/>
  <c r="U127" i="23"/>
  <c r="S100" i="23"/>
  <c r="S113" i="23" s="1"/>
  <c r="T87" i="23"/>
  <c r="S4" i="40"/>
  <c r="AE82" i="23" l="1"/>
  <c r="AD122" i="23"/>
  <c r="AF81" i="23"/>
  <c r="AF80" i="23"/>
  <c r="AE148" i="23"/>
  <c r="AG167" i="23"/>
  <c r="AG169" i="23" s="1"/>
  <c r="AF168" i="23"/>
  <c r="U140" i="23"/>
  <c r="U153" i="23" s="1"/>
  <c r="V127" i="23"/>
  <c r="T100" i="23"/>
  <c r="T113" i="23" s="1"/>
  <c r="U87" i="23"/>
  <c r="T4" i="40"/>
  <c r="AE122" i="23" l="1"/>
  <c r="AF82" i="23"/>
  <c r="AG81" i="23"/>
  <c r="AG80" i="23"/>
  <c r="AF148" i="23"/>
  <c r="AH167" i="23"/>
  <c r="AH169" i="23" s="1"/>
  <c r="AG168" i="23"/>
  <c r="V140" i="23"/>
  <c r="V153" i="23" s="1"/>
  <c r="W127" i="23"/>
  <c r="U100" i="23"/>
  <c r="U113" i="23" s="1"/>
  <c r="V87" i="23"/>
  <c r="U4" i="40"/>
  <c r="AF122" i="23" l="1"/>
  <c r="AH81" i="23"/>
  <c r="AH80" i="23"/>
  <c r="AG82" i="23"/>
  <c r="AG148" i="23"/>
  <c r="AI167" i="23"/>
  <c r="AI169" i="23" s="1"/>
  <c r="AH168" i="23"/>
  <c r="X127" i="23"/>
  <c r="W140" i="23"/>
  <c r="W153" i="23" s="1"/>
  <c r="V100" i="23"/>
  <c r="V113" i="23" s="1"/>
  <c r="W87" i="23"/>
  <c r="V4" i="40"/>
  <c r="AH82" i="23" l="1"/>
  <c r="AG122" i="23"/>
  <c r="AI81" i="23"/>
  <c r="AI80" i="23"/>
  <c r="AH148" i="23"/>
  <c r="AI168" i="23"/>
  <c r="AJ167" i="23"/>
  <c r="AJ169" i="23" s="1"/>
  <c r="X140" i="23"/>
  <c r="X153" i="23" s="1"/>
  <c r="Y127" i="23"/>
  <c r="W100" i="23"/>
  <c r="W113" i="23" s="1"/>
  <c r="X87" i="23"/>
  <c r="W4" i="40"/>
  <c r="AI82" i="23" l="1"/>
  <c r="AH122" i="23"/>
  <c r="AJ81" i="23"/>
  <c r="AJ80" i="23"/>
  <c r="AI148" i="23"/>
  <c r="AK167" i="23"/>
  <c r="AJ168" i="23"/>
  <c r="Y140" i="23"/>
  <c r="Y153" i="23" s="1"/>
  <c r="Z127" i="23"/>
  <c r="X100" i="23"/>
  <c r="X113" i="23" s="1"/>
  <c r="Y87" i="23"/>
  <c r="X4" i="40"/>
  <c r="AJ82" i="23" l="1"/>
  <c r="AI122" i="23"/>
  <c r="AL167" i="23"/>
  <c r="AL169" i="23" s="1"/>
  <c r="AK169" i="23"/>
  <c r="AJ148" i="23"/>
  <c r="AK168" i="23"/>
  <c r="Z140" i="23"/>
  <c r="Z153" i="23" s="1"/>
  <c r="AA127" i="23"/>
  <c r="Y100" i="23"/>
  <c r="Y113" i="23" s="1"/>
  <c r="Z87" i="23"/>
  <c r="Y4" i="40"/>
  <c r="AL168" i="23" l="1"/>
  <c r="AL148" i="23" s="1"/>
  <c r="AM167" i="23"/>
  <c r="AM169" i="23" s="1"/>
  <c r="AJ122" i="23"/>
  <c r="AK81" i="23"/>
  <c r="AK80" i="23"/>
  <c r="AL81" i="23"/>
  <c r="AL80" i="23"/>
  <c r="AK148" i="23"/>
  <c r="AA140" i="23"/>
  <c r="AA153" i="23" s="1"/>
  <c r="AB127" i="23"/>
  <c r="Z100" i="23"/>
  <c r="Z113" i="23" s="1"/>
  <c r="AA87" i="23"/>
  <c r="Z4" i="40"/>
  <c r="AL61" i="23" l="1"/>
  <c r="AL107" i="23"/>
  <c r="AL109" i="23" s="1"/>
  <c r="AM168" i="23"/>
  <c r="AL162" i="23"/>
  <c r="AL82" i="23"/>
  <c r="AL147" i="23"/>
  <c r="AL149" i="23" s="1"/>
  <c r="AL122" i="23"/>
  <c r="AL62" i="23"/>
  <c r="AK122" i="23"/>
  <c r="AM61" i="23"/>
  <c r="AM148" i="23"/>
  <c r="AM62" i="23"/>
  <c r="AM81" i="23"/>
  <c r="C81" i="23" s="1"/>
  <c r="E18" i="23" s="1"/>
  <c r="AM80" i="23"/>
  <c r="AM107" i="23"/>
  <c r="AM109" i="23" s="1"/>
  <c r="AK82" i="23"/>
  <c r="AL63" i="23"/>
  <c r="AB140" i="23"/>
  <c r="AB153" i="23" s="1"/>
  <c r="AC127" i="23"/>
  <c r="AA100" i="23"/>
  <c r="AA113" i="23" s="1"/>
  <c r="AB87" i="23"/>
  <c r="AA4" i="40"/>
  <c r="AM147" i="23" l="1"/>
  <c r="AM63" i="23"/>
  <c r="C121" i="23"/>
  <c r="H18" i="23" s="1"/>
  <c r="AM82" i="23"/>
  <c r="C148" i="23"/>
  <c r="J18" i="23" s="1"/>
  <c r="C161" i="23"/>
  <c r="K18" i="23" s="1"/>
  <c r="AM149" i="23"/>
  <c r="AM122" i="23"/>
  <c r="C122" i="23" s="1"/>
  <c r="C120" i="23"/>
  <c r="H17" i="23" s="1"/>
  <c r="AC140" i="23"/>
  <c r="AC153" i="23" s="1"/>
  <c r="AD127" i="23"/>
  <c r="AB100" i="23"/>
  <c r="AB113" i="23" s="1"/>
  <c r="AC87" i="23"/>
  <c r="AB4" i="40"/>
  <c r="H19" i="23" l="1"/>
  <c r="AM162" i="23"/>
  <c r="AD140" i="23"/>
  <c r="AD153" i="23" s="1"/>
  <c r="AE127" i="23"/>
  <c r="AC100" i="23"/>
  <c r="AC113" i="23" s="1"/>
  <c r="AD87" i="23"/>
  <c r="AC4" i="40"/>
  <c r="AE140" i="23" l="1"/>
  <c r="AE153" i="23" s="1"/>
  <c r="AF127" i="23"/>
  <c r="AD100" i="23"/>
  <c r="AD113" i="23" s="1"/>
  <c r="AE87" i="23"/>
  <c r="AD4" i="40"/>
  <c r="AF140" i="23" l="1"/>
  <c r="AF153" i="23" s="1"/>
  <c r="AG127" i="23"/>
  <c r="AE100" i="23"/>
  <c r="AE113" i="23" s="1"/>
  <c r="AF87" i="23"/>
  <c r="AE4" i="40"/>
  <c r="AG140" i="23" l="1"/>
  <c r="AG153" i="23" s="1"/>
  <c r="AH127" i="23"/>
  <c r="AG87" i="23"/>
  <c r="AF100" i="23"/>
  <c r="AF113" i="23" s="1"/>
  <c r="AF4" i="40"/>
  <c r="AH140" i="23" l="1"/>
  <c r="AH153" i="23" s="1"/>
  <c r="AI127" i="23"/>
  <c r="AG100" i="23"/>
  <c r="AG113" i="23" s="1"/>
  <c r="AH87" i="23"/>
  <c r="AG4" i="40"/>
  <c r="AJ127" i="23" l="1"/>
  <c r="AI140" i="23"/>
  <c r="AI153" i="23" s="1"/>
  <c r="AH100" i="23"/>
  <c r="AH113" i="23" s="1"/>
  <c r="AI87" i="23"/>
  <c r="AH4" i="40"/>
  <c r="AJ140" i="23" l="1"/>
  <c r="AJ153" i="23" s="1"/>
  <c r="AK127" i="23"/>
  <c r="AL127" i="23" s="1"/>
  <c r="AI100" i="23"/>
  <c r="AI113" i="23" s="1"/>
  <c r="AJ87" i="23"/>
  <c r="AI4" i="40"/>
  <c r="AM127" i="23" l="1"/>
  <c r="AM140" i="23" s="1"/>
  <c r="AM153" i="23" s="1"/>
  <c r="AL140" i="23"/>
  <c r="AL153" i="23" s="1"/>
  <c r="AK140" i="23"/>
  <c r="AK153" i="23" s="1"/>
  <c r="AK87" i="23"/>
  <c r="AL87" i="23" s="1"/>
  <c r="AJ100" i="23"/>
  <c r="AJ113" i="23" s="1"/>
  <c r="AJ4" i="40"/>
  <c r="AL100" i="23" l="1"/>
  <c r="AL113" i="23" s="1"/>
  <c r="AM87" i="23"/>
  <c r="AM100" i="23" s="1"/>
  <c r="AM113" i="23" s="1"/>
  <c r="AK100" i="23"/>
  <c r="AK113" i="23" s="1"/>
  <c r="AK4" i="40"/>
  <c r="AL4" i="40" s="1"/>
  <c r="AM4" i="40" l="1"/>
  <c r="D128" i="24"/>
  <c r="E57" i="18" l="1"/>
  <c r="D73" i="1" l="1"/>
  <c r="E53" i="18" l="1"/>
  <c r="D99" i="24"/>
  <c r="F62" i="23" l="1"/>
  <c r="E62" i="23" l="1"/>
  <c r="G62" i="23"/>
  <c r="H62" i="23" l="1"/>
  <c r="I62" i="23" l="1"/>
  <c r="J62" i="23" l="1"/>
  <c r="K62" i="23" l="1"/>
  <c r="L62" i="23" l="1"/>
  <c r="M62" i="23" l="1"/>
  <c r="N62" i="23" l="1"/>
  <c r="O62" i="23" l="1"/>
  <c r="P62" i="23" l="1"/>
  <c r="Q62" i="23" l="1"/>
  <c r="R62" i="23" l="1"/>
  <c r="S62" i="23" l="1"/>
  <c r="T62" i="23" l="1"/>
  <c r="U62" i="23" l="1"/>
  <c r="V62" i="23" l="1"/>
  <c r="W62" i="23" l="1"/>
  <c r="X62" i="23" l="1"/>
  <c r="Y62" i="23" l="1"/>
  <c r="Z62" i="23" l="1"/>
  <c r="AK96" i="23"/>
  <c r="AK136" i="23"/>
  <c r="AA62" i="23" l="1"/>
  <c r="AB62" i="23" l="1"/>
  <c r="AK44" i="23"/>
  <c r="AC62" i="23" l="1"/>
  <c r="AD62" i="23" l="1"/>
  <c r="F4" i="41"/>
  <c r="C4" i="41"/>
  <c r="H3" i="27"/>
  <c r="I3" i="27"/>
  <c r="J3" i="27"/>
  <c r="K3" i="27"/>
  <c r="L3" i="27" s="1"/>
  <c r="M3" i="27" s="1"/>
  <c r="N3" i="27" s="1"/>
  <c r="O3" i="27" s="1"/>
  <c r="P3" i="27" s="1"/>
  <c r="Q3" i="27" s="1"/>
  <c r="R3" i="27" s="1"/>
  <c r="S3" i="27" s="1"/>
  <c r="T3" i="27" s="1"/>
  <c r="U3" i="27" s="1"/>
  <c r="V3" i="27" s="1"/>
  <c r="W3" i="27" s="1"/>
  <c r="X3" i="27" s="1"/>
  <c r="Y3" i="27" s="1"/>
  <c r="Z3" i="27" s="1"/>
  <c r="AA3" i="27" s="1"/>
  <c r="AB3" i="27" s="1"/>
  <c r="AC3" i="27" s="1"/>
  <c r="AD3" i="27" s="1"/>
  <c r="AE3" i="27" s="1"/>
  <c r="AF3" i="27" s="1"/>
  <c r="AG3" i="27" s="1"/>
  <c r="AH3" i="27" s="1"/>
  <c r="AI3" i="27" s="1"/>
  <c r="AJ3" i="27" s="1"/>
  <c r="AK3" i="27" s="1"/>
  <c r="AL3" i="27" s="1"/>
  <c r="AM3" i="27" s="1"/>
  <c r="G3" i="27"/>
  <c r="N40" i="43"/>
  <c r="M40" i="43"/>
  <c r="L40" i="43"/>
  <c r="K40" i="43"/>
  <c r="J40" i="43"/>
  <c r="G40" i="43"/>
  <c r="F40" i="43"/>
  <c r="E40" i="43"/>
  <c r="D40" i="43"/>
  <c r="C40" i="43"/>
  <c r="N39" i="43"/>
  <c r="M39" i="43"/>
  <c r="L39" i="43"/>
  <c r="K39" i="43"/>
  <c r="J39" i="43"/>
  <c r="G39" i="43"/>
  <c r="F39" i="43"/>
  <c r="E39" i="43"/>
  <c r="D39" i="43"/>
  <c r="C39" i="43"/>
  <c r="N38" i="43"/>
  <c r="M38" i="43"/>
  <c r="L38" i="43"/>
  <c r="K38" i="43"/>
  <c r="J38" i="43"/>
  <c r="G38" i="43"/>
  <c r="F38" i="43"/>
  <c r="E38" i="43"/>
  <c r="D38" i="43"/>
  <c r="C38" i="43"/>
  <c r="N37" i="43"/>
  <c r="M37" i="43"/>
  <c r="L37" i="43"/>
  <c r="K37" i="43"/>
  <c r="J37" i="43"/>
  <c r="G37" i="43"/>
  <c r="F37" i="43"/>
  <c r="E37" i="43"/>
  <c r="D37" i="43"/>
  <c r="C37" i="43"/>
  <c r="N36" i="43"/>
  <c r="M36" i="43"/>
  <c r="L36" i="43"/>
  <c r="K36" i="43"/>
  <c r="J36" i="43"/>
  <c r="G36" i="43"/>
  <c r="F36" i="43"/>
  <c r="E36" i="43"/>
  <c r="D36" i="43"/>
  <c r="C36" i="43"/>
  <c r="N35" i="43"/>
  <c r="M35" i="43"/>
  <c r="L35" i="43"/>
  <c r="K35" i="43"/>
  <c r="J35" i="43"/>
  <c r="G35" i="43"/>
  <c r="F35" i="43"/>
  <c r="E35" i="43"/>
  <c r="D35" i="43"/>
  <c r="C35" i="43"/>
  <c r="N34" i="43"/>
  <c r="M34" i="43"/>
  <c r="L34" i="43"/>
  <c r="K34" i="43"/>
  <c r="J34" i="43"/>
  <c r="G34" i="43"/>
  <c r="F34" i="43"/>
  <c r="E34" i="43"/>
  <c r="D34" i="43"/>
  <c r="C34" i="43"/>
  <c r="N33" i="43"/>
  <c r="M33" i="43"/>
  <c r="L33" i="43"/>
  <c r="K33" i="43"/>
  <c r="J33" i="43"/>
  <c r="G33" i="43"/>
  <c r="F33" i="43"/>
  <c r="E33" i="43"/>
  <c r="D33" i="43"/>
  <c r="C33" i="43"/>
  <c r="N32" i="43"/>
  <c r="M32" i="43"/>
  <c r="L32" i="43"/>
  <c r="K32" i="43"/>
  <c r="J32" i="43"/>
  <c r="G32" i="43"/>
  <c r="F32" i="43"/>
  <c r="E32" i="43"/>
  <c r="D32" i="43"/>
  <c r="C32" i="43"/>
  <c r="N31" i="43"/>
  <c r="M31" i="43"/>
  <c r="L31" i="43"/>
  <c r="K31" i="43"/>
  <c r="J31" i="43"/>
  <c r="G31" i="43"/>
  <c r="F31" i="43"/>
  <c r="E31" i="43"/>
  <c r="D31" i="43"/>
  <c r="C31" i="43"/>
  <c r="N30" i="43"/>
  <c r="M30" i="43"/>
  <c r="L30" i="43"/>
  <c r="K30" i="43"/>
  <c r="J30" i="43"/>
  <c r="G30" i="43"/>
  <c r="F30" i="43"/>
  <c r="E30" i="43"/>
  <c r="D30" i="43"/>
  <c r="C30" i="43"/>
  <c r="N29" i="43"/>
  <c r="M29" i="43"/>
  <c r="L29" i="43"/>
  <c r="K29" i="43"/>
  <c r="J29" i="43"/>
  <c r="G29" i="43"/>
  <c r="F29" i="43"/>
  <c r="E29" i="43"/>
  <c r="D29" i="43"/>
  <c r="C29" i="43"/>
  <c r="N28" i="43"/>
  <c r="M28" i="43"/>
  <c r="L28" i="43"/>
  <c r="K28" i="43"/>
  <c r="J28" i="43"/>
  <c r="G28" i="43"/>
  <c r="F28" i="43"/>
  <c r="E28" i="43"/>
  <c r="D28" i="43"/>
  <c r="C28" i="43"/>
  <c r="N27" i="43"/>
  <c r="M27" i="43"/>
  <c r="L27" i="43"/>
  <c r="K27" i="43"/>
  <c r="J27" i="43"/>
  <c r="G27" i="43"/>
  <c r="F27" i="43"/>
  <c r="E27" i="43"/>
  <c r="D27" i="43"/>
  <c r="C27" i="43"/>
  <c r="N26" i="43"/>
  <c r="M26" i="43"/>
  <c r="L26" i="43"/>
  <c r="K26" i="43"/>
  <c r="J26" i="43"/>
  <c r="G26" i="43"/>
  <c r="F26" i="43"/>
  <c r="E26" i="43"/>
  <c r="D26" i="43"/>
  <c r="C26" i="43"/>
  <c r="N25" i="43"/>
  <c r="M25" i="43"/>
  <c r="L25" i="43"/>
  <c r="K25" i="43"/>
  <c r="J25" i="43"/>
  <c r="G25" i="43"/>
  <c r="F25" i="43"/>
  <c r="E25" i="43"/>
  <c r="D25" i="43"/>
  <c r="C25" i="43"/>
  <c r="N24" i="43"/>
  <c r="M24" i="43"/>
  <c r="L24" i="43"/>
  <c r="K24" i="43"/>
  <c r="J24" i="43"/>
  <c r="G24" i="43"/>
  <c r="F24" i="43"/>
  <c r="E24" i="43"/>
  <c r="D24" i="43"/>
  <c r="C24" i="43"/>
  <c r="N23" i="43"/>
  <c r="M23" i="43"/>
  <c r="L23" i="43"/>
  <c r="K23" i="43"/>
  <c r="J23" i="43"/>
  <c r="G23" i="43"/>
  <c r="F23" i="43"/>
  <c r="E23" i="43"/>
  <c r="D23" i="43"/>
  <c r="C23" i="43"/>
  <c r="N22" i="43"/>
  <c r="M22" i="43"/>
  <c r="L22" i="43"/>
  <c r="K22" i="43"/>
  <c r="J22" i="43"/>
  <c r="G22" i="43"/>
  <c r="F22" i="43"/>
  <c r="E22" i="43"/>
  <c r="D22" i="43"/>
  <c r="C22" i="43"/>
  <c r="N21" i="43"/>
  <c r="M21" i="43"/>
  <c r="L21" i="43"/>
  <c r="K21" i="43"/>
  <c r="J21" i="43"/>
  <c r="G21" i="43"/>
  <c r="F21" i="43"/>
  <c r="E21" i="43"/>
  <c r="D21" i="43"/>
  <c r="C21" i="43"/>
  <c r="N20" i="43"/>
  <c r="M20" i="43"/>
  <c r="L20" i="43"/>
  <c r="K20" i="43"/>
  <c r="J20" i="43"/>
  <c r="G20" i="43"/>
  <c r="F20" i="43"/>
  <c r="E20" i="43"/>
  <c r="D20" i="43"/>
  <c r="C20" i="43"/>
  <c r="N19" i="43"/>
  <c r="M19" i="43"/>
  <c r="L19" i="43"/>
  <c r="K19" i="43"/>
  <c r="J19" i="43"/>
  <c r="G19" i="43"/>
  <c r="F19" i="43"/>
  <c r="E19" i="43"/>
  <c r="D19" i="43"/>
  <c r="C19" i="43"/>
  <c r="N18" i="43"/>
  <c r="M18" i="43"/>
  <c r="L18" i="43"/>
  <c r="K18" i="43"/>
  <c r="J18" i="43"/>
  <c r="G18" i="43"/>
  <c r="F18" i="43"/>
  <c r="E18" i="43"/>
  <c r="D18" i="43"/>
  <c r="C18" i="43"/>
  <c r="N17" i="43"/>
  <c r="M17" i="43"/>
  <c r="L17" i="43"/>
  <c r="K17" i="43"/>
  <c r="J17" i="43"/>
  <c r="G17" i="43"/>
  <c r="F17" i="43"/>
  <c r="E17" i="43"/>
  <c r="D17" i="43"/>
  <c r="C17" i="43"/>
  <c r="N16" i="43"/>
  <c r="M16" i="43"/>
  <c r="L16" i="43"/>
  <c r="K16" i="43"/>
  <c r="J16" i="43"/>
  <c r="G16" i="43"/>
  <c r="F16" i="43"/>
  <c r="E16" i="43"/>
  <c r="D16" i="43"/>
  <c r="C16" i="43"/>
  <c r="N15" i="43"/>
  <c r="M15" i="43"/>
  <c r="L15" i="43"/>
  <c r="K15" i="43"/>
  <c r="J15" i="43"/>
  <c r="G15" i="43"/>
  <c r="F15" i="43"/>
  <c r="E15" i="43"/>
  <c r="D15" i="43"/>
  <c r="C15" i="43"/>
  <c r="N14" i="43"/>
  <c r="M14" i="43"/>
  <c r="L14" i="43"/>
  <c r="K14" i="43"/>
  <c r="J14" i="43"/>
  <c r="G14" i="43"/>
  <c r="F14" i="43"/>
  <c r="E14" i="43"/>
  <c r="D14" i="43"/>
  <c r="C14" i="43"/>
  <c r="N13" i="43"/>
  <c r="M13" i="43"/>
  <c r="L13" i="43"/>
  <c r="K13" i="43"/>
  <c r="J13" i="43"/>
  <c r="G13" i="43"/>
  <c r="F13" i="43"/>
  <c r="E13" i="43"/>
  <c r="D13" i="43"/>
  <c r="C13" i="43"/>
  <c r="N12" i="43"/>
  <c r="M12" i="43"/>
  <c r="L12" i="43"/>
  <c r="K12" i="43"/>
  <c r="J12" i="43"/>
  <c r="G12" i="43"/>
  <c r="F12" i="43"/>
  <c r="E12" i="43"/>
  <c r="D12" i="43"/>
  <c r="C12" i="43"/>
  <c r="N11" i="43"/>
  <c r="M11" i="43"/>
  <c r="L11" i="43"/>
  <c r="K11" i="43"/>
  <c r="J11" i="43"/>
  <c r="G11" i="43"/>
  <c r="F11" i="43"/>
  <c r="E11" i="43"/>
  <c r="D11" i="43"/>
  <c r="C11" i="43"/>
  <c r="N10" i="43"/>
  <c r="M10" i="43"/>
  <c r="L10" i="43"/>
  <c r="K10" i="43"/>
  <c r="J10" i="43"/>
  <c r="G10" i="43"/>
  <c r="F10" i="43"/>
  <c r="E10" i="43"/>
  <c r="D10" i="43"/>
  <c r="C10" i="43"/>
  <c r="N9" i="43"/>
  <c r="M9" i="43"/>
  <c r="L9" i="43"/>
  <c r="K9" i="43"/>
  <c r="J9" i="43"/>
  <c r="G9" i="43"/>
  <c r="F9" i="43"/>
  <c r="E9" i="43"/>
  <c r="D9" i="43"/>
  <c r="C9" i="43"/>
  <c r="N8" i="43"/>
  <c r="M8" i="43"/>
  <c r="L8" i="43"/>
  <c r="K8" i="43"/>
  <c r="J8" i="43"/>
  <c r="G8" i="43"/>
  <c r="F8" i="43"/>
  <c r="E8" i="43"/>
  <c r="D8" i="43"/>
  <c r="C8" i="43"/>
  <c r="N7" i="43"/>
  <c r="M7" i="43"/>
  <c r="L7" i="43"/>
  <c r="K7" i="43"/>
  <c r="J7" i="43"/>
  <c r="G7" i="43"/>
  <c r="F7" i="43"/>
  <c r="E7" i="43"/>
  <c r="D7" i="43"/>
  <c r="C7" i="43"/>
  <c r="N6" i="43"/>
  <c r="E16" i="41" s="1"/>
  <c r="M6" i="43"/>
  <c r="E15" i="41" s="1"/>
  <c r="L6" i="43"/>
  <c r="E14" i="41" s="1"/>
  <c r="K6" i="43"/>
  <c r="E13" i="41" s="1"/>
  <c r="J6" i="43"/>
  <c r="E12" i="41" s="1"/>
  <c r="G6" i="43"/>
  <c r="E10" i="41" s="1"/>
  <c r="F6" i="43"/>
  <c r="E9" i="41" s="1"/>
  <c r="E6" i="43"/>
  <c r="E8" i="41" s="1"/>
  <c r="D6" i="43"/>
  <c r="E7" i="41" s="1"/>
  <c r="C6" i="43"/>
  <c r="E6" i="41" s="1"/>
  <c r="P39" i="43"/>
  <c r="P40" i="43"/>
  <c r="I39" i="43"/>
  <c r="I40" i="43"/>
  <c r="B39" i="43"/>
  <c r="B40" i="43"/>
  <c r="Q50" i="43"/>
  <c r="E21" i="41" s="1"/>
  <c r="Q49" i="43"/>
  <c r="E20" i="41" s="1"/>
  <c r="F20" i="41" s="1"/>
  <c r="G20" i="41" s="1"/>
  <c r="H20" i="41" s="1"/>
  <c r="I20" i="41" s="1"/>
  <c r="J20" i="41" s="1"/>
  <c r="Q48" i="43"/>
  <c r="E19" i="41" s="1"/>
  <c r="F19" i="41" s="1"/>
  <c r="G19" i="41" s="1"/>
  <c r="H19" i="41" s="1"/>
  <c r="I19" i="41" s="1"/>
  <c r="J19" i="41" s="1"/>
  <c r="K19" i="41" s="1"/>
  <c r="L19" i="41" s="1"/>
  <c r="Q47" i="43"/>
  <c r="E18" i="41" s="1"/>
  <c r="Q37" i="43"/>
  <c r="Q36" i="43"/>
  <c r="Q35" i="43"/>
  <c r="Q34" i="43"/>
  <c r="Q33" i="43"/>
  <c r="Q32" i="43"/>
  <c r="Q31" i="43"/>
  <c r="Q30" i="43"/>
  <c r="Q29" i="43"/>
  <c r="Q28" i="43"/>
  <c r="Q27" i="43"/>
  <c r="Q26" i="43"/>
  <c r="Q25" i="43"/>
  <c r="Q24" i="43"/>
  <c r="Q23" i="43"/>
  <c r="Q22" i="43"/>
  <c r="Q21" i="43"/>
  <c r="Q20" i="43"/>
  <c r="Q19" i="43"/>
  <c r="Q18" i="43"/>
  <c r="Q17" i="43"/>
  <c r="Q16" i="43"/>
  <c r="Q15" i="43"/>
  <c r="Q14" i="43"/>
  <c r="Q13" i="43"/>
  <c r="Q12" i="43"/>
  <c r="Q11" i="43"/>
  <c r="Q10" i="43"/>
  <c r="Q9" i="43"/>
  <c r="Q8" i="43"/>
  <c r="Q7" i="43"/>
  <c r="Q6" i="43"/>
  <c r="E22" i="41" s="1"/>
  <c r="P7" i="43"/>
  <c r="P8" i="43" s="1"/>
  <c r="I7" i="43"/>
  <c r="I8" i="43" s="1"/>
  <c r="B7" i="43"/>
  <c r="AE62" i="23" l="1"/>
  <c r="G4" i="41"/>
  <c r="F16" i="41"/>
  <c r="F12" i="41"/>
  <c r="F22" i="41"/>
  <c r="F13" i="41"/>
  <c r="F8" i="41"/>
  <c r="F15" i="41"/>
  <c r="F10" i="41"/>
  <c r="F7" i="41"/>
  <c r="F14" i="41"/>
  <c r="F9" i="41"/>
  <c r="F6" i="41"/>
  <c r="K20" i="41"/>
  <c r="L20" i="41" s="1"/>
  <c r="M20" i="41" s="1"/>
  <c r="N20" i="41" s="1"/>
  <c r="O20" i="41" s="1"/>
  <c r="P20" i="41" s="1"/>
  <c r="Q20" i="41" s="1"/>
  <c r="R20" i="41" s="1"/>
  <c r="M19" i="41"/>
  <c r="N19" i="41" s="1"/>
  <c r="O19" i="41" s="1"/>
  <c r="P19" i="41" s="1"/>
  <c r="Q19" i="41" s="1"/>
  <c r="R19" i="41" s="1"/>
  <c r="S19" i="41" s="1"/>
  <c r="T19" i="41" s="1"/>
  <c r="U19" i="41" s="1"/>
  <c r="V19" i="41" s="1"/>
  <c r="W19" i="41" s="1"/>
  <c r="X19" i="41" s="1"/>
  <c r="Y19" i="41" s="1"/>
  <c r="AN3" i="27"/>
  <c r="AN12" i="27" s="1"/>
  <c r="AM12" i="27"/>
  <c r="P9" i="43"/>
  <c r="I9" i="43"/>
  <c r="B8" i="43"/>
  <c r="AF62" i="23" l="1"/>
  <c r="H4" i="41"/>
  <c r="G22" i="41"/>
  <c r="G13" i="41"/>
  <c r="G8" i="41"/>
  <c r="G14" i="41"/>
  <c r="G9" i="41"/>
  <c r="G16" i="41"/>
  <c r="G12" i="41"/>
  <c r="G6" i="41"/>
  <c r="G7" i="41"/>
  <c r="G10" i="41"/>
  <c r="G15" i="41"/>
  <c r="Z19" i="41"/>
  <c r="S20" i="41"/>
  <c r="B9" i="43"/>
  <c r="I10" i="43"/>
  <c r="P10" i="43"/>
  <c r="AG62" i="23" l="1"/>
  <c r="I4" i="41"/>
  <c r="H14" i="41"/>
  <c r="H9" i="41"/>
  <c r="H15" i="41"/>
  <c r="H10" i="41"/>
  <c r="H16" i="41"/>
  <c r="H12" i="41"/>
  <c r="H13" i="41"/>
  <c r="H8" i="41"/>
  <c r="H7" i="41"/>
  <c r="H22" i="41"/>
  <c r="H6" i="41"/>
  <c r="T20" i="41"/>
  <c r="AA19" i="41"/>
  <c r="P11" i="43"/>
  <c r="B10" i="43"/>
  <c r="I11" i="43"/>
  <c r="AH62" i="23" l="1"/>
  <c r="J4" i="41"/>
  <c r="I15" i="41"/>
  <c r="I10" i="41"/>
  <c r="I16" i="41"/>
  <c r="I12" i="41"/>
  <c r="I14" i="41"/>
  <c r="I9" i="41"/>
  <c r="I6" i="41"/>
  <c r="I22" i="41"/>
  <c r="I13" i="41"/>
  <c r="I7" i="41"/>
  <c r="I8" i="41"/>
  <c r="AB19" i="41"/>
  <c r="U20" i="41"/>
  <c r="B11" i="43"/>
  <c r="I12" i="43"/>
  <c r="P12" i="43"/>
  <c r="AI62" i="23" l="1"/>
  <c r="K4" i="41"/>
  <c r="J16" i="41"/>
  <c r="J12" i="41"/>
  <c r="J7" i="41"/>
  <c r="J22" i="41"/>
  <c r="J13" i="41"/>
  <c r="J8" i="41"/>
  <c r="J14" i="41"/>
  <c r="J9" i="41"/>
  <c r="J15" i="41"/>
  <c r="J10" i="41"/>
  <c r="J6" i="41"/>
  <c r="V20" i="41"/>
  <c r="AC19" i="41"/>
  <c r="I13" i="43"/>
  <c r="P13" i="43"/>
  <c r="B12" i="43"/>
  <c r="AK62" i="23" l="1"/>
  <c r="AK61" i="23"/>
  <c r="AJ62" i="23"/>
  <c r="L4" i="41"/>
  <c r="K22" i="41"/>
  <c r="K13" i="41"/>
  <c r="K8" i="41"/>
  <c r="K14" i="41"/>
  <c r="K9" i="41"/>
  <c r="K15" i="41"/>
  <c r="K10" i="41"/>
  <c r="K7" i="41"/>
  <c r="K16" i="41"/>
  <c r="K12" i="41"/>
  <c r="K6" i="41"/>
  <c r="AK147" i="23"/>
  <c r="AK107" i="23"/>
  <c r="AK109" i="23" s="1"/>
  <c r="AD19" i="41"/>
  <c r="W20" i="41"/>
  <c r="I14" i="43"/>
  <c r="P14" i="43"/>
  <c r="B13" i="43"/>
  <c r="AK149" i="23" l="1"/>
  <c r="AK162" i="23"/>
  <c r="C62" i="23"/>
  <c r="D18" i="23" s="1"/>
  <c r="AK63" i="23"/>
  <c r="M4" i="41"/>
  <c r="L14" i="41"/>
  <c r="L9" i="41"/>
  <c r="L15" i="41"/>
  <c r="L10" i="41"/>
  <c r="L22" i="41"/>
  <c r="L13" i="41"/>
  <c r="L8" i="41"/>
  <c r="L16" i="41"/>
  <c r="L12" i="41"/>
  <c r="L6" i="41"/>
  <c r="L7" i="41"/>
  <c r="X20" i="41"/>
  <c r="AE19" i="41"/>
  <c r="P15" i="43"/>
  <c r="B14" i="43"/>
  <c r="I15" i="43"/>
  <c r="N4" i="41" l="1"/>
  <c r="M15" i="41"/>
  <c r="M10" i="41"/>
  <c r="M16" i="41"/>
  <c r="M12" i="41"/>
  <c r="M22" i="41"/>
  <c r="M13" i="41"/>
  <c r="M8" i="41"/>
  <c r="M6" i="41"/>
  <c r="M9" i="41"/>
  <c r="M7" i="41"/>
  <c r="M14" i="41"/>
  <c r="Y20" i="41"/>
  <c r="AF19" i="41"/>
  <c r="I16" i="43"/>
  <c r="B15" i="43"/>
  <c r="P16" i="43"/>
  <c r="O4" i="41" l="1"/>
  <c r="N16" i="41"/>
  <c r="N12" i="41"/>
  <c r="N7" i="41"/>
  <c r="N22" i="41"/>
  <c r="N13" i="41"/>
  <c r="N8" i="41"/>
  <c r="N15" i="41"/>
  <c r="N10" i="41"/>
  <c r="N14" i="41"/>
  <c r="N9" i="41"/>
  <c r="N6" i="41"/>
  <c r="AG19" i="41"/>
  <c r="Z20" i="41"/>
  <c r="B16" i="43"/>
  <c r="I17" i="43"/>
  <c r="P17" i="43"/>
  <c r="P4" i="41" l="1"/>
  <c r="O22" i="41"/>
  <c r="O13" i="41"/>
  <c r="O8" i="41"/>
  <c r="O14" i="41"/>
  <c r="O9" i="41"/>
  <c r="O16" i="41"/>
  <c r="O12" i="41"/>
  <c r="O6" i="41"/>
  <c r="O15" i="41"/>
  <c r="O7" i="41"/>
  <c r="O10" i="41"/>
  <c r="AA20" i="41"/>
  <c r="AH19" i="41"/>
  <c r="I18" i="43"/>
  <c r="P18" i="43"/>
  <c r="B17" i="43"/>
  <c r="Q4" i="41" l="1"/>
  <c r="P14" i="41"/>
  <c r="P9" i="41"/>
  <c r="P15" i="41"/>
  <c r="P10" i="41"/>
  <c r="P16" i="41"/>
  <c r="P12" i="41"/>
  <c r="P7" i="41"/>
  <c r="P8" i="41"/>
  <c r="P6" i="41"/>
  <c r="P22" i="41"/>
  <c r="P13" i="41"/>
  <c r="AI19" i="41"/>
  <c r="AB20" i="41"/>
  <c r="B18" i="43"/>
  <c r="I19" i="43"/>
  <c r="P19" i="43"/>
  <c r="R4" i="41" l="1"/>
  <c r="Q15" i="41"/>
  <c r="Q10" i="41"/>
  <c r="Q16" i="41"/>
  <c r="Q12" i="41"/>
  <c r="Q14" i="41"/>
  <c r="Q9" i="41"/>
  <c r="Q6" i="41"/>
  <c r="Q22" i="41"/>
  <c r="Q13" i="41"/>
  <c r="Q7" i="41"/>
  <c r="Q8" i="41"/>
  <c r="AC20" i="41"/>
  <c r="AJ19" i="41"/>
  <c r="I20" i="43"/>
  <c r="P20" i="43"/>
  <c r="B19" i="43"/>
  <c r="S4" i="41" l="1"/>
  <c r="R16" i="41"/>
  <c r="R12" i="41"/>
  <c r="R7" i="41"/>
  <c r="R22" i="41"/>
  <c r="R13" i="41"/>
  <c r="R8" i="41"/>
  <c r="R14" i="41"/>
  <c r="R9" i="41"/>
  <c r="R15" i="41"/>
  <c r="R10" i="41"/>
  <c r="R6" i="41"/>
  <c r="AK19" i="41"/>
  <c r="AD20" i="41"/>
  <c r="P21" i="43"/>
  <c r="B20" i="43"/>
  <c r="I21" i="43"/>
  <c r="T4" i="41" l="1"/>
  <c r="S22" i="41"/>
  <c r="S13" i="41"/>
  <c r="S8" i="41"/>
  <c r="S14" i="41"/>
  <c r="S9" i="41"/>
  <c r="S15" i="41"/>
  <c r="S10" i="41"/>
  <c r="S12" i="41"/>
  <c r="S16" i="41"/>
  <c r="S7" i="41"/>
  <c r="S6" i="41"/>
  <c r="AL19" i="41"/>
  <c r="AE20" i="41"/>
  <c r="B21" i="43"/>
  <c r="I22" i="43"/>
  <c r="P22" i="43"/>
  <c r="U4" i="41" l="1"/>
  <c r="T14" i="41"/>
  <c r="T9" i="41"/>
  <c r="T15" i="41"/>
  <c r="T10" i="41"/>
  <c r="T22" i="41"/>
  <c r="T13" i="41"/>
  <c r="T8" i="41"/>
  <c r="T16" i="41"/>
  <c r="T12" i="41"/>
  <c r="T7" i="41"/>
  <c r="T6" i="41"/>
  <c r="AM19" i="41"/>
  <c r="AN19" i="41" s="1"/>
  <c r="AF20" i="41"/>
  <c r="B22" i="43"/>
  <c r="I23" i="43"/>
  <c r="P23" i="43"/>
  <c r="V4" i="41" l="1"/>
  <c r="U15" i="41"/>
  <c r="U10" i="41"/>
  <c r="U16" i="41"/>
  <c r="U12" i="41"/>
  <c r="U7" i="41"/>
  <c r="U22" i="41"/>
  <c r="U13" i="41"/>
  <c r="U8" i="41"/>
  <c r="U6" i="41"/>
  <c r="U14" i="41"/>
  <c r="U9" i="41"/>
  <c r="AG20" i="41"/>
  <c r="I24" i="43"/>
  <c r="P24" i="43"/>
  <c r="B23" i="43"/>
  <c r="W4" i="41" l="1"/>
  <c r="V16" i="41"/>
  <c r="V12" i="41"/>
  <c r="V7" i="41"/>
  <c r="V22" i="41"/>
  <c r="V13" i="41"/>
  <c r="V8" i="41"/>
  <c r="V15" i="41"/>
  <c r="V10" i="41"/>
  <c r="V14" i="41"/>
  <c r="V9" i="41"/>
  <c r="V6" i="41"/>
  <c r="AH20" i="41"/>
  <c r="I25" i="43"/>
  <c r="P25" i="43"/>
  <c r="B24" i="43"/>
  <c r="X4" i="41" l="1"/>
  <c r="W22" i="41"/>
  <c r="W13" i="41"/>
  <c r="W8" i="41"/>
  <c r="W14" i="41"/>
  <c r="W9" i="41"/>
  <c r="W16" i="41"/>
  <c r="W12" i="41"/>
  <c r="W7" i="41"/>
  <c r="W15" i="41"/>
  <c r="W6" i="41"/>
  <c r="W10" i="41"/>
  <c r="AI20" i="41"/>
  <c r="B25" i="43"/>
  <c r="I26" i="43"/>
  <c r="P26" i="43"/>
  <c r="Y4" i="41" l="1"/>
  <c r="X14" i="41"/>
  <c r="X9" i="41"/>
  <c r="X15" i="41"/>
  <c r="X10" i="41"/>
  <c r="X16" i="41"/>
  <c r="X12" i="41"/>
  <c r="X8" i="41"/>
  <c r="X22" i="41"/>
  <c r="X7" i="41"/>
  <c r="X13" i="41"/>
  <c r="X6" i="41"/>
  <c r="AJ20" i="41"/>
  <c r="I27" i="43"/>
  <c r="P27" i="43"/>
  <c r="B26" i="43"/>
  <c r="Z4" i="41" l="1"/>
  <c r="Y15" i="41"/>
  <c r="Y10" i="41"/>
  <c r="Y16" i="41"/>
  <c r="Y12" i="41"/>
  <c r="Y7" i="41"/>
  <c r="Y14" i="41"/>
  <c r="Y9" i="41"/>
  <c r="Y6" i="41"/>
  <c r="Y22" i="41"/>
  <c r="Y13" i="41"/>
  <c r="Y8" i="41"/>
  <c r="AK20" i="41"/>
  <c r="P28" i="43"/>
  <c r="B27" i="43"/>
  <c r="I28" i="43"/>
  <c r="AA4" i="41" l="1"/>
  <c r="Z16" i="41"/>
  <c r="Z12" i="41"/>
  <c r="Z7" i="41"/>
  <c r="Z22" i="41"/>
  <c r="Z13" i="41"/>
  <c r="Z8" i="41"/>
  <c r="Z14" i="41"/>
  <c r="Z9" i="41"/>
  <c r="Z15" i="41"/>
  <c r="Z10" i="41"/>
  <c r="Z6" i="41"/>
  <c r="AL20" i="41"/>
  <c r="B28" i="43"/>
  <c r="I29" i="43"/>
  <c r="P29" i="43"/>
  <c r="AB4" i="41" l="1"/>
  <c r="AA22" i="41"/>
  <c r="AA13" i="41"/>
  <c r="AA8" i="41"/>
  <c r="AA14" i="41"/>
  <c r="AA9" i="41"/>
  <c r="AA15" i="41"/>
  <c r="AA10" i="41"/>
  <c r="AA7" i="41"/>
  <c r="AA12" i="41"/>
  <c r="AA6" i="41"/>
  <c r="AA16" i="41"/>
  <c r="AM20" i="41"/>
  <c r="AN20" i="41" s="1"/>
  <c r="P30" i="43"/>
  <c r="B29" i="43"/>
  <c r="I30" i="43"/>
  <c r="AC4" i="41" l="1"/>
  <c r="AB14" i="41"/>
  <c r="AB9" i="41"/>
  <c r="AB15" i="41"/>
  <c r="AB10" i="41"/>
  <c r="AB22" i="41"/>
  <c r="AB13" i="41"/>
  <c r="AB8" i="41"/>
  <c r="AB16" i="41"/>
  <c r="AB12" i="41"/>
  <c r="AB6" i="41"/>
  <c r="AB7" i="41"/>
  <c r="B30" i="43"/>
  <c r="I31" i="43"/>
  <c r="P31" i="43"/>
  <c r="AD4" i="41" l="1"/>
  <c r="AC15" i="41"/>
  <c r="AC10" i="41"/>
  <c r="AC16" i="41"/>
  <c r="AC12" i="41"/>
  <c r="AC7" i="41"/>
  <c r="AC22" i="41"/>
  <c r="AC13" i="41"/>
  <c r="AC8" i="41"/>
  <c r="AC6" i="41"/>
  <c r="AC14" i="41"/>
  <c r="AC9" i="41"/>
  <c r="B31" i="43"/>
  <c r="I32" i="43"/>
  <c r="P32" i="43"/>
  <c r="AE4" i="41" l="1"/>
  <c r="AD16" i="41"/>
  <c r="AD12" i="41"/>
  <c r="AD7" i="41"/>
  <c r="AD22" i="41"/>
  <c r="AD13" i="41"/>
  <c r="AD8" i="41"/>
  <c r="AD15" i="41"/>
  <c r="AD10" i="41"/>
  <c r="AD14" i="41"/>
  <c r="AD9" i="41"/>
  <c r="AD6" i="41"/>
  <c r="I33" i="43"/>
  <c r="P33" i="43"/>
  <c r="B32" i="43"/>
  <c r="AF4" i="41" l="1"/>
  <c r="AE22" i="41"/>
  <c r="AE13" i="41"/>
  <c r="AE8" i="41"/>
  <c r="AE14" i="41"/>
  <c r="AE9" i="41"/>
  <c r="AE16" i="41"/>
  <c r="AE12" i="41"/>
  <c r="AE7" i="41"/>
  <c r="AE10" i="41"/>
  <c r="AE6" i="41"/>
  <c r="AE15" i="41"/>
  <c r="P34" i="43"/>
  <c r="B33" i="43"/>
  <c r="B34" i="43" s="1"/>
  <c r="B35" i="43" s="1"/>
  <c r="B36" i="43" s="1"/>
  <c r="B37" i="43" s="1"/>
  <c r="B38" i="43" s="1"/>
  <c r="I34" i="43"/>
  <c r="AG4" i="41" l="1"/>
  <c r="AF14" i="41"/>
  <c r="AF9" i="41"/>
  <c r="AF15" i="41"/>
  <c r="AF10" i="41"/>
  <c r="AF16" i="41"/>
  <c r="AF12" i="41"/>
  <c r="AF22" i="41"/>
  <c r="AF8" i="41"/>
  <c r="AF7" i="41"/>
  <c r="AF13" i="41"/>
  <c r="AF6" i="41"/>
  <c r="I35" i="43"/>
  <c r="P35" i="43"/>
  <c r="AH4" i="41" l="1"/>
  <c r="AG15" i="41"/>
  <c r="AG10" i="41"/>
  <c r="AG16" i="41"/>
  <c r="AG12" i="41"/>
  <c r="AG7" i="41"/>
  <c r="AG14" i="41"/>
  <c r="AG9" i="41"/>
  <c r="AG6" i="41"/>
  <c r="AG22" i="41"/>
  <c r="AG13" i="41"/>
  <c r="AG8" i="41"/>
  <c r="P36" i="43"/>
  <c r="I36" i="43"/>
  <c r="AI4" i="41" l="1"/>
  <c r="AH16" i="41"/>
  <c r="AH12" i="41"/>
  <c r="AH7" i="41"/>
  <c r="AH22" i="41"/>
  <c r="AH13" i="41"/>
  <c r="AH8" i="41"/>
  <c r="AH14" i="41"/>
  <c r="AH9" i="41"/>
  <c r="AH15" i="41"/>
  <c r="AH10" i="41"/>
  <c r="AH6" i="41"/>
  <c r="I37" i="43"/>
  <c r="P37" i="43"/>
  <c r="AJ4" i="41" l="1"/>
  <c r="AI22" i="41"/>
  <c r="AI13" i="41"/>
  <c r="AI8" i="41"/>
  <c r="AI14" i="41"/>
  <c r="AI9" i="41"/>
  <c r="AI15" i="41"/>
  <c r="AI10" i="41"/>
  <c r="AI16" i="41"/>
  <c r="AI7" i="41"/>
  <c r="AI12" i="41"/>
  <c r="AI6" i="41"/>
  <c r="P38" i="43"/>
  <c r="Q38" i="43"/>
  <c r="Q39" i="43" s="1"/>
  <c r="Q40" i="43" s="1"/>
  <c r="I38" i="43"/>
  <c r="AK4" i="41" l="1"/>
  <c r="AJ14" i="41"/>
  <c r="AJ9" i="41"/>
  <c r="AJ15" i="41"/>
  <c r="AJ10" i="41"/>
  <c r="AJ22" i="41"/>
  <c r="AJ13" i="41"/>
  <c r="AJ8" i="41"/>
  <c r="AJ16" i="41"/>
  <c r="AJ12" i="41"/>
  <c r="AJ7" i="41"/>
  <c r="AJ6" i="41"/>
  <c r="E14" i="17"/>
  <c r="F14" i="17"/>
  <c r="G14" i="17"/>
  <c r="H14" i="17"/>
  <c r="I14" i="17"/>
  <c r="J14" i="17"/>
  <c r="E15" i="17"/>
  <c r="F15" i="17"/>
  <c r="I15" i="17"/>
  <c r="J15" i="17"/>
  <c r="E16" i="17"/>
  <c r="C40" i="24" s="1"/>
  <c r="F16" i="17"/>
  <c r="D40" i="24" s="1"/>
  <c r="I16" i="17"/>
  <c r="G40" i="24" s="1"/>
  <c r="J16" i="17"/>
  <c r="E17" i="17"/>
  <c r="C41" i="24" s="1"/>
  <c r="F17" i="17"/>
  <c r="D41" i="24" s="1"/>
  <c r="G17" i="17"/>
  <c r="E41" i="24" s="1"/>
  <c r="H17" i="17"/>
  <c r="F41" i="24" s="1"/>
  <c r="I17" i="17"/>
  <c r="G41" i="24" s="1"/>
  <c r="J17" i="17"/>
  <c r="D15" i="17"/>
  <c r="D16" i="17"/>
  <c r="D17" i="17"/>
  <c r="D14" i="17"/>
  <c r="D68" i="1"/>
  <c r="D69" i="1" s="1"/>
  <c r="I5" i="30"/>
  <c r="I6" i="30"/>
  <c r="D39" i="24" l="1"/>
  <c r="F134" i="23"/>
  <c r="D42" i="23"/>
  <c r="D80" i="23" s="1"/>
  <c r="C94" i="23"/>
  <c r="D134" i="23"/>
  <c r="H41" i="24"/>
  <c r="E134" i="23"/>
  <c r="C39" i="24"/>
  <c r="E38" i="24"/>
  <c r="F38" i="24"/>
  <c r="J134" i="23"/>
  <c r="J96" i="23"/>
  <c r="D38" i="24"/>
  <c r="D42" i="24" s="1"/>
  <c r="F107" i="23"/>
  <c r="F109" i="23" s="1"/>
  <c r="G39" i="24"/>
  <c r="I134" i="23"/>
  <c r="G38" i="24"/>
  <c r="I107" i="23"/>
  <c r="I109" i="23" s="1"/>
  <c r="C38" i="24"/>
  <c r="D138" i="24"/>
  <c r="AJ107" i="23"/>
  <c r="AJ109" i="23" s="1"/>
  <c r="AF107" i="23"/>
  <c r="AF109" i="23" s="1"/>
  <c r="AB96" i="23"/>
  <c r="X96" i="23"/>
  <c r="T107" i="23"/>
  <c r="T109" i="23" s="1"/>
  <c r="P96" i="23"/>
  <c r="L96" i="23"/>
  <c r="AJ136" i="23"/>
  <c r="AJ147" i="23"/>
  <c r="AF136" i="23"/>
  <c r="AF147" i="23"/>
  <c r="AB136" i="23"/>
  <c r="AB147" i="23"/>
  <c r="X136" i="23"/>
  <c r="X147" i="23"/>
  <c r="T136" i="23"/>
  <c r="T147" i="23"/>
  <c r="P136" i="23"/>
  <c r="P147" i="23"/>
  <c r="L136" i="23"/>
  <c r="L147" i="23"/>
  <c r="AH96" i="23"/>
  <c r="AH107" i="23"/>
  <c r="AH109" i="23" s="1"/>
  <c r="AD96" i="23"/>
  <c r="AD107" i="23"/>
  <c r="AD109" i="23" s="1"/>
  <c r="Z96" i="23"/>
  <c r="Z107" i="23"/>
  <c r="Z109" i="23" s="1"/>
  <c r="V96" i="23"/>
  <c r="V107" i="23"/>
  <c r="V109" i="23" s="1"/>
  <c r="R96" i="23"/>
  <c r="R107" i="23"/>
  <c r="R109" i="23" s="1"/>
  <c r="N96" i="23"/>
  <c r="N107" i="23"/>
  <c r="N109" i="23" s="1"/>
  <c r="J107" i="23"/>
  <c r="J109" i="23" s="1"/>
  <c r="AI136" i="23"/>
  <c r="AI147" i="23"/>
  <c r="AE136" i="23"/>
  <c r="AE147" i="23"/>
  <c r="AA136" i="23"/>
  <c r="AA147" i="23"/>
  <c r="W136" i="23"/>
  <c r="W147" i="23"/>
  <c r="S136" i="23"/>
  <c r="S147" i="23"/>
  <c r="O136" i="23"/>
  <c r="O147" i="23"/>
  <c r="K136" i="23"/>
  <c r="K147" i="23"/>
  <c r="AG96" i="23"/>
  <c r="AG107" i="23"/>
  <c r="AG109" i="23" s="1"/>
  <c r="AC96" i="23"/>
  <c r="AC107" i="23"/>
  <c r="AC109" i="23" s="1"/>
  <c r="Y96" i="23"/>
  <c r="Y107" i="23"/>
  <c r="Y109" i="23" s="1"/>
  <c r="U96" i="23"/>
  <c r="U107" i="23"/>
  <c r="U109" i="23" s="1"/>
  <c r="Q96" i="23"/>
  <c r="Q107" i="23"/>
  <c r="Q109" i="23" s="1"/>
  <c r="M96" i="23"/>
  <c r="M107" i="23"/>
  <c r="M109" i="23" s="1"/>
  <c r="AH136" i="23"/>
  <c r="AH147" i="23"/>
  <c r="AD136" i="23"/>
  <c r="AD147" i="23"/>
  <c r="Z136" i="23"/>
  <c r="Z147" i="23"/>
  <c r="V136" i="23"/>
  <c r="V147" i="23"/>
  <c r="R136" i="23"/>
  <c r="R147" i="23"/>
  <c r="N136" i="23"/>
  <c r="N147" i="23"/>
  <c r="AJ96" i="23"/>
  <c r="AF96" i="23"/>
  <c r="AG136" i="23"/>
  <c r="AG147" i="23"/>
  <c r="AC136" i="23"/>
  <c r="AC147" i="23"/>
  <c r="Y136" i="23"/>
  <c r="Y147" i="23"/>
  <c r="U136" i="23"/>
  <c r="U147" i="23"/>
  <c r="Q136" i="23"/>
  <c r="Q147" i="23"/>
  <c r="M136" i="23"/>
  <c r="M147" i="23"/>
  <c r="AI96" i="23"/>
  <c r="AI107" i="23"/>
  <c r="AI109" i="23" s="1"/>
  <c r="AE96" i="23"/>
  <c r="AE107" i="23"/>
  <c r="AE109" i="23" s="1"/>
  <c r="AA96" i="23"/>
  <c r="AA107" i="23"/>
  <c r="AA109" i="23" s="1"/>
  <c r="W96" i="23"/>
  <c r="W107" i="23"/>
  <c r="W109" i="23" s="1"/>
  <c r="S96" i="23"/>
  <c r="S107" i="23"/>
  <c r="S109" i="23" s="1"/>
  <c r="O96" i="23"/>
  <c r="O107" i="23"/>
  <c r="O109" i="23" s="1"/>
  <c r="K96" i="23"/>
  <c r="K107" i="23"/>
  <c r="K109" i="23" s="1"/>
  <c r="E96" i="23"/>
  <c r="E107" i="23"/>
  <c r="E109" i="23" s="1"/>
  <c r="AL4" i="41"/>
  <c r="AK15" i="41"/>
  <c r="AK10" i="41"/>
  <c r="AK16" i="41"/>
  <c r="AK12" i="41"/>
  <c r="AK7" i="41"/>
  <c r="AK22" i="41"/>
  <c r="AK13" i="41"/>
  <c r="AK8" i="41"/>
  <c r="AK6" i="41"/>
  <c r="AK14" i="41"/>
  <c r="AK9" i="41"/>
  <c r="J18" i="17"/>
  <c r="J42" i="23" s="1"/>
  <c r="J80" i="23" s="1"/>
  <c r="J82" i="23" s="1"/>
  <c r="F18" i="17"/>
  <c r="I18" i="17"/>
  <c r="E18" i="17"/>
  <c r="C14" i="17"/>
  <c r="G16" i="17"/>
  <c r="E40" i="24" s="1"/>
  <c r="H16" i="17"/>
  <c r="F40" i="24" s="1"/>
  <c r="H15" i="17"/>
  <c r="G15" i="17"/>
  <c r="C7" i="17"/>
  <c r="E50" i="18"/>
  <c r="E49" i="18"/>
  <c r="E42" i="23" l="1"/>
  <c r="E80" i="23" s="1"/>
  <c r="E82" i="23" s="1"/>
  <c r="C27" i="24"/>
  <c r="I42" i="23"/>
  <c r="I80" i="23" s="1"/>
  <c r="I82" i="23" s="1"/>
  <c r="C31" i="24"/>
  <c r="F42" i="23"/>
  <c r="F80" i="23" s="1"/>
  <c r="F82" i="23" s="1"/>
  <c r="C28" i="24"/>
  <c r="I147" i="23"/>
  <c r="I149" i="23" s="1"/>
  <c r="I162" i="23"/>
  <c r="E136" i="23"/>
  <c r="F136" i="23"/>
  <c r="J136" i="23"/>
  <c r="Q149" i="23"/>
  <c r="Q162" i="23"/>
  <c r="AG149" i="23"/>
  <c r="AG162" i="23"/>
  <c r="N149" i="23"/>
  <c r="N162" i="23"/>
  <c r="V149" i="23"/>
  <c r="V162" i="23"/>
  <c r="AD149" i="23"/>
  <c r="AD162" i="23"/>
  <c r="K149" i="23"/>
  <c r="K162" i="23"/>
  <c r="S149" i="23"/>
  <c r="S162" i="23"/>
  <c r="AA149" i="23"/>
  <c r="AA162" i="23"/>
  <c r="AI149" i="23"/>
  <c r="AI162" i="23"/>
  <c r="Y149" i="23"/>
  <c r="Y162" i="23"/>
  <c r="P149" i="23"/>
  <c r="P162" i="23"/>
  <c r="X149" i="23"/>
  <c r="X162" i="23"/>
  <c r="AF149" i="23"/>
  <c r="AF162" i="23"/>
  <c r="M149" i="23"/>
  <c r="M162" i="23"/>
  <c r="U149" i="23"/>
  <c r="U162" i="23"/>
  <c r="AC149" i="23"/>
  <c r="AC162" i="23"/>
  <c r="R149" i="23"/>
  <c r="R162" i="23"/>
  <c r="Z149" i="23"/>
  <c r="Z162" i="23"/>
  <c r="AH149" i="23"/>
  <c r="AH162" i="23"/>
  <c r="O149" i="23"/>
  <c r="O162" i="23"/>
  <c r="W149" i="23"/>
  <c r="W162" i="23"/>
  <c r="AE149" i="23"/>
  <c r="AE162" i="23"/>
  <c r="L149" i="23"/>
  <c r="L162" i="23"/>
  <c r="T149" i="23"/>
  <c r="T162" i="23"/>
  <c r="AB149" i="23"/>
  <c r="AB162" i="23"/>
  <c r="AJ149" i="23"/>
  <c r="AJ162" i="23"/>
  <c r="J147" i="23"/>
  <c r="D82" i="23"/>
  <c r="I136" i="23"/>
  <c r="H40" i="24"/>
  <c r="G42" i="24"/>
  <c r="I96" i="23"/>
  <c r="F147" i="23"/>
  <c r="F96" i="23"/>
  <c r="E147" i="23"/>
  <c r="C42" i="24"/>
  <c r="H38" i="24"/>
  <c r="E39" i="24"/>
  <c r="E42" i="24" s="1"/>
  <c r="G134" i="23"/>
  <c r="D107" i="23"/>
  <c r="D109" i="23" s="1"/>
  <c r="F39" i="24"/>
  <c r="F42" i="24" s="1"/>
  <c r="H134" i="23"/>
  <c r="D96" i="23"/>
  <c r="D44" i="23"/>
  <c r="D61" i="23"/>
  <c r="D136" i="23"/>
  <c r="D147" i="23"/>
  <c r="P107" i="23"/>
  <c r="P109" i="23" s="1"/>
  <c r="T96" i="23"/>
  <c r="L107" i="23"/>
  <c r="L109" i="23" s="1"/>
  <c r="AB107" i="23"/>
  <c r="AB109" i="23" s="1"/>
  <c r="X107" i="23"/>
  <c r="X109" i="23" s="1"/>
  <c r="G18" i="17"/>
  <c r="H18" i="17"/>
  <c r="AM4" i="41"/>
  <c r="AL16" i="41"/>
  <c r="AL12" i="41"/>
  <c r="AL7" i="41"/>
  <c r="AL22" i="41"/>
  <c r="AL13" i="41"/>
  <c r="AL8" i="41"/>
  <c r="AL15" i="41"/>
  <c r="AL10" i="41"/>
  <c r="AL14" i="41"/>
  <c r="AL9" i="41"/>
  <c r="AL6" i="41"/>
  <c r="C7" i="37"/>
  <c r="D129" i="24"/>
  <c r="C16" i="17"/>
  <c r="C15" i="17"/>
  <c r="C6" i="30"/>
  <c r="C5" i="30"/>
  <c r="M27" i="14"/>
  <c r="N27" i="14"/>
  <c r="O27" i="14"/>
  <c r="O28" i="14" s="1"/>
  <c r="O29" i="14" s="1"/>
  <c r="O30" i="14" s="1"/>
  <c r="O31" i="14" s="1"/>
  <c r="O32" i="14" s="1"/>
  <c r="O33" i="14" s="1"/>
  <c r="O34" i="14" s="1"/>
  <c r="O35" i="14" s="1"/>
  <c r="P27" i="14"/>
  <c r="P28" i="14" s="1"/>
  <c r="P29" i="14" s="1"/>
  <c r="P30" i="14" s="1"/>
  <c r="P31" i="14" s="1"/>
  <c r="P32" i="14" s="1"/>
  <c r="P33" i="14" s="1"/>
  <c r="P34" i="14" s="1"/>
  <c r="P35" i="14" s="1"/>
  <c r="Q27" i="14"/>
  <c r="R27" i="14"/>
  <c r="M28" i="14"/>
  <c r="M29" i="14" s="1"/>
  <c r="M30" i="14" s="1"/>
  <c r="M31" i="14" s="1"/>
  <c r="M32" i="14" s="1"/>
  <c r="M33" i="14" s="1"/>
  <c r="M34" i="14" s="1"/>
  <c r="M35" i="14" s="1"/>
  <c r="N28" i="14"/>
  <c r="N29" i="14" s="1"/>
  <c r="N30" i="14" s="1"/>
  <c r="N31" i="14" s="1"/>
  <c r="N32" i="14" s="1"/>
  <c r="N33" i="14" s="1"/>
  <c r="N34" i="14" s="1"/>
  <c r="N35" i="14" s="1"/>
  <c r="Q28" i="14"/>
  <c r="Q29" i="14" s="1"/>
  <c r="Q30" i="14" s="1"/>
  <c r="Q31" i="14" s="1"/>
  <c r="Q32" i="14" s="1"/>
  <c r="Q33" i="14" s="1"/>
  <c r="Q34" i="14" s="1"/>
  <c r="Q35" i="14" s="1"/>
  <c r="R28" i="14"/>
  <c r="R29" i="14" s="1"/>
  <c r="R30" i="14" s="1"/>
  <c r="R31" i="14" s="1"/>
  <c r="R32" i="14" s="1"/>
  <c r="R33" i="14" s="1"/>
  <c r="R34" i="14" s="1"/>
  <c r="R35" i="14" s="1"/>
  <c r="L28" i="14"/>
  <c r="L29" i="14" s="1"/>
  <c r="L30" i="14" s="1"/>
  <c r="L31" i="14" s="1"/>
  <c r="L32" i="14" s="1"/>
  <c r="L33" i="14" s="1"/>
  <c r="L34" i="14" s="1"/>
  <c r="L35" i="14" s="1"/>
  <c r="L27" i="14"/>
  <c r="M17" i="14"/>
  <c r="N17" i="14"/>
  <c r="N18" i="14" s="1"/>
  <c r="N19" i="14" s="1"/>
  <c r="N20" i="14" s="1"/>
  <c r="N21" i="14" s="1"/>
  <c r="N22" i="14" s="1"/>
  <c r="N23" i="14" s="1"/>
  <c r="N24" i="14" s="1"/>
  <c r="N25" i="14" s="1"/>
  <c r="O17" i="14"/>
  <c r="P17" i="14"/>
  <c r="Q17" i="14"/>
  <c r="R17" i="14"/>
  <c r="R18" i="14" s="1"/>
  <c r="R19" i="14" s="1"/>
  <c r="R20" i="14" s="1"/>
  <c r="R21" i="14" s="1"/>
  <c r="R22" i="14" s="1"/>
  <c r="R23" i="14" s="1"/>
  <c r="R24" i="14" s="1"/>
  <c r="R25" i="14" s="1"/>
  <c r="M18" i="14"/>
  <c r="O18" i="14"/>
  <c r="P18" i="14"/>
  <c r="P19" i="14" s="1"/>
  <c r="P20" i="14" s="1"/>
  <c r="P21" i="14" s="1"/>
  <c r="P22" i="14" s="1"/>
  <c r="P23" i="14" s="1"/>
  <c r="P24" i="14" s="1"/>
  <c r="P25" i="14" s="1"/>
  <c r="Q18" i="14"/>
  <c r="M19" i="14"/>
  <c r="O19" i="14"/>
  <c r="Q19" i="14"/>
  <c r="M20" i="14"/>
  <c r="O20" i="14"/>
  <c r="Q20" i="14"/>
  <c r="M21" i="14"/>
  <c r="O21" i="14"/>
  <c r="Q21" i="14"/>
  <c r="M22" i="14"/>
  <c r="O22" i="14"/>
  <c r="Q22" i="14"/>
  <c r="M23" i="14"/>
  <c r="O23" i="14"/>
  <c r="O24" i="14" s="1"/>
  <c r="O25" i="14" s="1"/>
  <c r="Q23" i="14"/>
  <c r="M24" i="14"/>
  <c r="M25" i="14" s="1"/>
  <c r="Q24" i="14"/>
  <c r="Q25" i="14" s="1"/>
  <c r="L18" i="14"/>
  <c r="L19" i="14" s="1"/>
  <c r="L20" i="14" s="1"/>
  <c r="L21" i="14" s="1"/>
  <c r="L22" i="14" s="1"/>
  <c r="L23" i="14" s="1"/>
  <c r="L24" i="14" s="1"/>
  <c r="L25" i="14" s="1"/>
  <c r="L17" i="14"/>
  <c r="M8" i="14"/>
  <c r="N8" i="14"/>
  <c r="O8" i="14"/>
  <c r="P8" i="14"/>
  <c r="P9" i="14" s="1"/>
  <c r="P10" i="14" s="1"/>
  <c r="P11" i="14" s="1"/>
  <c r="P12" i="14" s="1"/>
  <c r="P13" i="14" s="1"/>
  <c r="P14" i="14" s="1"/>
  <c r="P15" i="14" s="1"/>
  <c r="Q8" i="14"/>
  <c r="R8" i="14"/>
  <c r="M9" i="14"/>
  <c r="N9" i="14"/>
  <c r="N10" i="14" s="1"/>
  <c r="N11" i="14" s="1"/>
  <c r="N12" i="14" s="1"/>
  <c r="N13" i="14" s="1"/>
  <c r="N14" i="14" s="1"/>
  <c r="N15" i="14" s="1"/>
  <c r="O9" i="14"/>
  <c r="Q9" i="14"/>
  <c r="R9" i="14"/>
  <c r="R10" i="14" s="1"/>
  <c r="R11" i="14" s="1"/>
  <c r="R12" i="14" s="1"/>
  <c r="R13" i="14" s="1"/>
  <c r="R14" i="14" s="1"/>
  <c r="R15" i="14" s="1"/>
  <c r="M10" i="14"/>
  <c r="O10" i="14"/>
  <c r="Q10" i="14"/>
  <c r="M11" i="14"/>
  <c r="O11" i="14"/>
  <c r="Q11" i="14"/>
  <c r="M12" i="14"/>
  <c r="O12" i="14"/>
  <c r="Q12" i="14"/>
  <c r="M13" i="14"/>
  <c r="O13" i="14"/>
  <c r="Q13" i="14"/>
  <c r="M14" i="14"/>
  <c r="O14" i="14"/>
  <c r="Q14" i="14"/>
  <c r="M15" i="14"/>
  <c r="O15" i="14"/>
  <c r="Q15" i="14"/>
  <c r="L9" i="14"/>
  <c r="L10" i="14" s="1"/>
  <c r="L11" i="14" s="1"/>
  <c r="L12" i="14" s="1"/>
  <c r="L13" i="14" s="1"/>
  <c r="L14" i="14" s="1"/>
  <c r="L15" i="14" s="1"/>
  <c r="L8" i="14"/>
  <c r="D8" i="14"/>
  <c r="E8" i="14"/>
  <c r="F8" i="14"/>
  <c r="G8" i="14"/>
  <c r="G9" i="14" s="1"/>
  <c r="G10" i="14" s="1"/>
  <c r="G11" i="14" s="1"/>
  <c r="G12" i="14" s="1"/>
  <c r="G13" i="14" s="1"/>
  <c r="G14" i="14" s="1"/>
  <c r="G15" i="14" s="1"/>
  <c r="H8" i="14"/>
  <c r="I8" i="14"/>
  <c r="D9" i="14"/>
  <c r="E9" i="14"/>
  <c r="E10" i="14" s="1"/>
  <c r="E11" i="14" s="1"/>
  <c r="E12" i="14" s="1"/>
  <c r="E13" i="14" s="1"/>
  <c r="E14" i="14" s="1"/>
  <c r="E15" i="14" s="1"/>
  <c r="F9" i="14"/>
  <c r="H9" i="14"/>
  <c r="I9" i="14"/>
  <c r="I10" i="14" s="1"/>
  <c r="I11" i="14" s="1"/>
  <c r="I12" i="14" s="1"/>
  <c r="I13" i="14" s="1"/>
  <c r="I14" i="14" s="1"/>
  <c r="I15" i="14" s="1"/>
  <c r="D10" i="14"/>
  <c r="F10" i="14"/>
  <c r="H10" i="14"/>
  <c r="D11" i="14"/>
  <c r="F11" i="14"/>
  <c r="H11" i="14"/>
  <c r="D12" i="14"/>
  <c r="F12" i="14"/>
  <c r="H12" i="14"/>
  <c r="D13" i="14"/>
  <c r="F13" i="14"/>
  <c r="H13" i="14"/>
  <c r="D14" i="14"/>
  <c r="D15" i="14" s="1"/>
  <c r="F14" i="14"/>
  <c r="H14" i="14"/>
  <c r="H15" i="14" s="1"/>
  <c r="F15" i="14"/>
  <c r="C9" i="14"/>
  <c r="C10" i="14" s="1"/>
  <c r="C11" i="14" s="1"/>
  <c r="C12" i="14" s="1"/>
  <c r="C13" i="14" s="1"/>
  <c r="C14" i="14" s="1"/>
  <c r="C15" i="14" s="1"/>
  <c r="C8" i="14"/>
  <c r="M36" i="14"/>
  <c r="N36" i="14"/>
  <c r="O36" i="14"/>
  <c r="P36" i="14"/>
  <c r="P37" i="14" s="1"/>
  <c r="P38" i="14" s="1"/>
  <c r="P39" i="14" s="1"/>
  <c r="P40" i="14" s="1"/>
  <c r="P41" i="14" s="1"/>
  <c r="P42" i="14" s="1"/>
  <c r="P43" i="14" s="1"/>
  <c r="P44" i="14" s="1"/>
  <c r="Q36" i="14"/>
  <c r="R36" i="14"/>
  <c r="L36" i="14"/>
  <c r="L37" i="14" s="1"/>
  <c r="L38" i="14" s="1"/>
  <c r="L39" i="14" s="1"/>
  <c r="L40" i="14" s="1"/>
  <c r="L41" i="14" s="1"/>
  <c r="L42" i="14" s="1"/>
  <c r="L43" i="14" s="1"/>
  <c r="L44" i="14" s="1"/>
  <c r="M26" i="14"/>
  <c r="N26" i="14"/>
  <c r="O26" i="14"/>
  <c r="P26" i="14"/>
  <c r="Q26" i="14"/>
  <c r="R26" i="14"/>
  <c r="L26" i="14"/>
  <c r="M16" i="14"/>
  <c r="N16" i="14"/>
  <c r="O16" i="14"/>
  <c r="P16" i="14"/>
  <c r="Q16" i="14"/>
  <c r="R16" i="14"/>
  <c r="L16" i="14"/>
  <c r="M7" i="14"/>
  <c r="N7" i="14"/>
  <c r="O7" i="14"/>
  <c r="P7" i="14"/>
  <c r="Q7" i="14"/>
  <c r="R7" i="14"/>
  <c r="L7" i="14"/>
  <c r="D27" i="14"/>
  <c r="E27" i="14"/>
  <c r="F27" i="14"/>
  <c r="F28" i="14" s="1"/>
  <c r="F29" i="14" s="1"/>
  <c r="F30" i="14" s="1"/>
  <c r="F31" i="14" s="1"/>
  <c r="F32" i="14" s="1"/>
  <c r="F33" i="14" s="1"/>
  <c r="F34" i="14" s="1"/>
  <c r="F35" i="14" s="1"/>
  <c r="G27" i="14"/>
  <c r="G28" i="14" s="1"/>
  <c r="G29" i="14" s="1"/>
  <c r="G30" i="14" s="1"/>
  <c r="G31" i="14" s="1"/>
  <c r="G32" i="14" s="1"/>
  <c r="G33" i="14" s="1"/>
  <c r="G34" i="14" s="1"/>
  <c r="G35" i="14" s="1"/>
  <c r="H27" i="14"/>
  <c r="I27" i="14"/>
  <c r="D28" i="14"/>
  <c r="D29" i="14" s="1"/>
  <c r="D30" i="14" s="1"/>
  <c r="D31" i="14" s="1"/>
  <c r="D32" i="14" s="1"/>
  <c r="D33" i="14" s="1"/>
  <c r="D34" i="14" s="1"/>
  <c r="D35" i="14" s="1"/>
  <c r="E28" i="14"/>
  <c r="E29" i="14" s="1"/>
  <c r="E30" i="14" s="1"/>
  <c r="E31" i="14" s="1"/>
  <c r="E32" i="14" s="1"/>
  <c r="E33" i="14" s="1"/>
  <c r="E34" i="14" s="1"/>
  <c r="E35" i="14" s="1"/>
  <c r="H28" i="14"/>
  <c r="H29" i="14" s="1"/>
  <c r="H30" i="14" s="1"/>
  <c r="H31" i="14" s="1"/>
  <c r="H32" i="14" s="1"/>
  <c r="H33" i="14" s="1"/>
  <c r="H34" i="14" s="1"/>
  <c r="H35" i="14" s="1"/>
  <c r="I28" i="14"/>
  <c r="I29" i="14" s="1"/>
  <c r="I30" i="14" s="1"/>
  <c r="I31" i="14" s="1"/>
  <c r="I32" i="14" s="1"/>
  <c r="I33" i="14" s="1"/>
  <c r="I34" i="14" s="1"/>
  <c r="I35" i="14" s="1"/>
  <c r="C28" i="14"/>
  <c r="C29" i="14" s="1"/>
  <c r="C30" i="14" s="1"/>
  <c r="C31" i="14" s="1"/>
  <c r="C32" i="14" s="1"/>
  <c r="C33" i="14" s="1"/>
  <c r="C34" i="14" s="1"/>
  <c r="C35" i="14" s="1"/>
  <c r="C27" i="14"/>
  <c r="I17" i="14"/>
  <c r="G17" i="14"/>
  <c r="D17" i="14"/>
  <c r="E17" i="14"/>
  <c r="F17" i="14"/>
  <c r="G18" i="14"/>
  <c r="G19" i="14" s="1"/>
  <c r="G20" i="14" s="1"/>
  <c r="G21" i="14" s="1"/>
  <c r="G22" i="14" s="1"/>
  <c r="G23" i="14" s="1"/>
  <c r="G24" i="14" s="1"/>
  <c r="G25" i="14" s="1"/>
  <c r="H17" i="14"/>
  <c r="D18" i="14"/>
  <c r="E18" i="14"/>
  <c r="E19" i="14" s="1"/>
  <c r="E20" i="14" s="1"/>
  <c r="E21" i="14" s="1"/>
  <c r="E22" i="14" s="1"/>
  <c r="E23" i="14" s="1"/>
  <c r="E24" i="14" s="1"/>
  <c r="E25" i="14" s="1"/>
  <c r="F18" i="14"/>
  <c r="F19" i="14" s="1"/>
  <c r="F20" i="14" s="1"/>
  <c r="F21" i="14" s="1"/>
  <c r="F22" i="14" s="1"/>
  <c r="F23" i="14" s="1"/>
  <c r="F24" i="14" s="1"/>
  <c r="F25" i="14" s="1"/>
  <c r="H18" i="14"/>
  <c r="I18" i="14"/>
  <c r="I19" i="14" s="1"/>
  <c r="I20" i="14" s="1"/>
  <c r="I21" i="14" s="1"/>
  <c r="I22" i="14" s="1"/>
  <c r="I23" i="14" s="1"/>
  <c r="I24" i="14" s="1"/>
  <c r="I25" i="14" s="1"/>
  <c r="D19" i="14"/>
  <c r="D20" i="14" s="1"/>
  <c r="D21" i="14" s="1"/>
  <c r="D22" i="14" s="1"/>
  <c r="D23" i="14" s="1"/>
  <c r="D24" i="14" s="1"/>
  <c r="D25" i="14" s="1"/>
  <c r="H19" i="14"/>
  <c r="H20" i="14" s="1"/>
  <c r="H21" i="14" s="1"/>
  <c r="H22" i="14" s="1"/>
  <c r="H23" i="14" s="1"/>
  <c r="H24" i="14" s="1"/>
  <c r="H25" i="14" s="1"/>
  <c r="C18" i="14"/>
  <c r="C19" i="14"/>
  <c r="C20" i="14"/>
  <c r="C21" i="14"/>
  <c r="C22" i="14" s="1"/>
  <c r="C23" i="14" s="1"/>
  <c r="C24" i="14" s="1"/>
  <c r="C25" i="14" s="1"/>
  <c r="C17" i="14"/>
  <c r="E16" i="14"/>
  <c r="C36" i="14"/>
  <c r="C37" i="14" s="1"/>
  <c r="C38" i="14" s="1"/>
  <c r="C39" i="14" s="1"/>
  <c r="C40" i="14" s="1"/>
  <c r="C41" i="14" s="1"/>
  <c r="C42" i="14" s="1"/>
  <c r="C43" i="14" s="1"/>
  <c r="C44" i="14" s="1"/>
  <c r="D36" i="14"/>
  <c r="E36" i="14"/>
  <c r="E37" i="14" s="1"/>
  <c r="E38" i="14" s="1"/>
  <c r="E39" i="14" s="1"/>
  <c r="E40" i="14" s="1"/>
  <c r="E41" i="14" s="1"/>
  <c r="E42" i="14" s="1"/>
  <c r="E43" i="14" s="1"/>
  <c r="E44" i="14" s="1"/>
  <c r="F36" i="14"/>
  <c r="G36" i="14"/>
  <c r="G37" i="14" s="1"/>
  <c r="G38" i="14" s="1"/>
  <c r="G39" i="14" s="1"/>
  <c r="G40" i="14" s="1"/>
  <c r="G41" i="14" s="1"/>
  <c r="G42" i="14" s="1"/>
  <c r="G43" i="14" s="1"/>
  <c r="G44" i="14" s="1"/>
  <c r="H36" i="14"/>
  <c r="I36" i="14"/>
  <c r="I37" i="14" s="1"/>
  <c r="I38" i="14" s="1"/>
  <c r="I39" i="14" s="1"/>
  <c r="I40" i="14" s="1"/>
  <c r="I41" i="14" s="1"/>
  <c r="I42" i="14" s="1"/>
  <c r="I43" i="14" s="1"/>
  <c r="I44" i="14" s="1"/>
  <c r="I26" i="14"/>
  <c r="C26" i="14"/>
  <c r="D26" i="14"/>
  <c r="E26" i="14"/>
  <c r="F26" i="14"/>
  <c r="G26" i="14"/>
  <c r="H26" i="14"/>
  <c r="D16" i="14"/>
  <c r="F16" i="14"/>
  <c r="G16" i="14"/>
  <c r="H16" i="14"/>
  <c r="I16" i="14"/>
  <c r="C16" i="14"/>
  <c r="D7" i="14"/>
  <c r="E7" i="14"/>
  <c r="F7" i="14"/>
  <c r="G7" i="14"/>
  <c r="H7" i="14"/>
  <c r="I7" i="14"/>
  <c r="C7" i="14"/>
  <c r="R37" i="14"/>
  <c r="R38" i="14" s="1"/>
  <c r="R39" i="14" s="1"/>
  <c r="R40" i="14" s="1"/>
  <c r="R41" i="14" s="1"/>
  <c r="R42" i="14" s="1"/>
  <c r="R43" i="14" s="1"/>
  <c r="R44" i="14" s="1"/>
  <c r="Q37" i="14"/>
  <c r="Q38" i="14" s="1"/>
  <c r="Q39" i="14" s="1"/>
  <c r="Q40" i="14" s="1"/>
  <c r="Q41" i="14" s="1"/>
  <c r="Q42" i="14" s="1"/>
  <c r="Q43" i="14" s="1"/>
  <c r="Q44" i="14" s="1"/>
  <c r="O37" i="14"/>
  <c r="O38" i="14" s="1"/>
  <c r="O39" i="14" s="1"/>
  <c r="O40" i="14" s="1"/>
  <c r="O41" i="14" s="1"/>
  <c r="O42" i="14" s="1"/>
  <c r="O43" i="14" s="1"/>
  <c r="O44" i="14" s="1"/>
  <c r="N37" i="14"/>
  <c r="N38" i="14" s="1"/>
  <c r="N39" i="14" s="1"/>
  <c r="N40" i="14" s="1"/>
  <c r="N41" i="14" s="1"/>
  <c r="N42" i="14" s="1"/>
  <c r="N43" i="14" s="1"/>
  <c r="N44" i="14" s="1"/>
  <c r="M37" i="14"/>
  <c r="M38" i="14" s="1"/>
  <c r="M39" i="14" s="1"/>
  <c r="M40" i="14" s="1"/>
  <c r="M41" i="14" s="1"/>
  <c r="M42" i="14" s="1"/>
  <c r="M43" i="14" s="1"/>
  <c r="M44" i="14" s="1"/>
  <c r="K8" i="14"/>
  <c r="K9" i="14" s="1"/>
  <c r="K10" i="14" s="1"/>
  <c r="K11" i="14" s="1"/>
  <c r="K12" i="14" s="1"/>
  <c r="K13" i="14" s="1"/>
  <c r="K14" i="14" s="1"/>
  <c r="K15" i="14" s="1"/>
  <c r="K16" i="14" s="1"/>
  <c r="K17" i="14" s="1"/>
  <c r="K18" i="14" s="1"/>
  <c r="K19" i="14" s="1"/>
  <c r="K20" i="14" s="1"/>
  <c r="K21" i="14" s="1"/>
  <c r="K22" i="14" s="1"/>
  <c r="K23" i="14" s="1"/>
  <c r="K24" i="14" s="1"/>
  <c r="K25" i="14" s="1"/>
  <c r="K26" i="14" s="1"/>
  <c r="K27" i="14" s="1"/>
  <c r="K28" i="14" s="1"/>
  <c r="K29" i="14" s="1"/>
  <c r="K30" i="14" s="1"/>
  <c r="K31" i="14" s="1"/>
  <c r="K32" i="14" s="1"/>
  <c r="K33" i="14" s="1"/>
  <c r="K34" i="14" s="1"/>
  <c r="K35" i="14" s="1"/>
  <c r="K36" i="14" s="1"/>
  <c r="K37" i="14" s="1"/>
  <c r="K38" i="14" s="1"/>
  <c r="K39" i="14" s="1"/>
  <c r="K40" i="14" s="1"/>
  <c r="K41" i="14" s="1"/>
  <c r="K42" i="14" s="1"/>
  <c r="K43" i="14" s="1"/>
  <c r="K44" i="14" s="1"/>
  <c r="H37" i="14"/>
  <c r="H38" i="14" s="1"/>
  <c r="H39" i="14" s="1"/>
  <c r="H40" i="14" s="1"/>
  <c r="H41" i="14" s="1"/>
  <c r="H42" i="14" s="1"/>
  <c r="H43" i="14" s="1"/>
  <c r="H44" i="14" s="1"/>
  <c r="F37" i="14"/>
  <c r="F38" i="14" s="1"/>
  <c r="F39" i="14" s="1"/>
  <c r="F40" i="14" s="1"/>
  <c r="F41" i="14" s="1"/>
  <c r="F42" i="14" s="1"/>
  <c r="F43" i="14" s="1"/>
  <c r="F44" i="14" s="1"/>
  <c r="D37" i="14"/>
  <c r="D38" i="14" s="1"/>
  <c r="D39" i="14" s="1"/>
  <c r="D40" i="14" s="1"/>
  <c r="D41" i="14" s="1"/>
  <c r="D42" i="14" s="1"/>
  <c r="D43" i="14" s="1"/>
  <c r="D44" i="14" s="1"/>
  <c r="B8" i="14"/>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H42" i="23" l="1"/>
  <c r="H80" i="23" s="1"/>
  <c r="H82" i="23" s="1"/>
  <c r="C30" i="24"/>
  <c r="G42" i="23"/>
  <c r="G80" i="23" s="1"/>
  <c r="G82" i="23" s="1"/>
  <c r="C29" i="24"/>
  <c r="H136" i="23"/>
  <c r="G147" i="23"/>
  <c r="G149" i="23" s="1"/>
  <c r="G162" i="23"/>
  <c r="D162" i="23"/>
  <c r="E149" i="23"/>
  <c r="E162" i="23"/>
  <c r="J149" i="23"/>
  <c r="J162" i="23"/>
  <c r="F149" i="23"/>
  <c r="F162" i="23"/>
  <c r="G136" i="23"/>
  <c r="C136" i="23" s="1"/>
  <c r="H147" i="23"/>
  <c r="C134" i="23"/>
  <c r="I17" i="23" s="1"/>
  <c r="I19" i="23" s="1"/>
  <c r="H39" i="24"/>
  <c r="H42" i="24" s="1"/>
  <c r="D63" i="23"/>
  <c r="D149" i="23"/>
  <c r="C18" i="17"/>
  <c r="H96" i="23"/>
  <c r="H107" i="23"/>
  <c r="H109" i="23" s="1"/>
  <c r="G96" i="23"/>
  <c r="G107" i="23"/>
  <c r="AM22" i="41"/>
  <c r="AM13" i="41"/>
  <c r="AN13" i="41" s="1"/>
  <c r="AM8" i="41"/>
  <c r="AN8" i="41" s="1"/>
  <c r="AM14" i="41"/>
  <c r="AN14" i="41" s="1"/>
  <c r="AM9" i="41"/>
  <c r="AN9" i="41" s="1"/>
  <c r="AM16" i="41"/>
  <c r="AN16" i="41" s="1"/>
  <c r="AM12" i="41"/>
  <c r="AN12" i="41" s="1"/>
  <c r="AM7" i="41"/>
  <c r="AN7" i="41" s="1"/>
  <c r="AM6" i="41"/>
  <c r="AN6" i="41" s="1"/>
  <c r="AM15" i="41"/>
  <c r="AN15" i="41" s="1"/>
  <c r="AM10" i="41"/>
  <c r="AN10" i="41" s="1"/>
  <c r="C8" i="33"/>
  <c r="C7" i="33"/>
  <c r="C42" i="23" l="1"/>
  <c r="C32" i="24"/>
  <c r="C80" i="23"/>
  <c r="C82" i="23" s="1"/>
  <c r="H149" i="23"/>
  <c r="C149" i="23" s="1"/>
  <c r="H162" i="23"/>
  <c r="C162" i="23" s="1"/>
  <c r="C160" i="23"/>
  <c r="K17" i="23" s="1"/>
  <c r="K19" i="23" s="1"/>
  <c r="C96" i="23"/>
  <c r="C147" i="23"/>
  <c r="J17" i="23" s="1"/>
  <c r="J19" i="23" s="1"/>
  <c r="C107" i="23"/>
  <c r="G109" i="23"/>
  <c r="C109" i="23" s="1"/>
  <c r="F17" i="23"/>
  <c r="F19" i="23" s="1"/>
  <c r="E17" i="23" l="1"/>
  <c r="E19" i="23" s="1"/>
  <c r="E159" i="24" s="1"/>
  <c r="G17" i="23"/>
  <c r="G19" i="23" s="1"/>
  <c r="C7" i="38"/>
  <c r="D60" i="1" l="1"/>
  <c r="D91" i="24" s="1"/>
  <c r="D59" i="1"/>
  <c r="D90" i="24" s="1"/>
  <c r="E31" i="18" l="1"/>
  <c r="E32" i="18"/>
  <c r="E41" i="18"/>
  <c r="O27" i="3"/>
  <c r="E48" i="3"/>
  <c r="D49" i="3"/>
  <c r="F4" i="33" l="1"/>
  <c r="G4" i="33" l="1"/>
  <c r="E29" i="18"/>
  <c r="E13" i="18"/>
  <c r="D12" i="1"/>
  <c r="D37" i="23" l="1"/>
  <c r="D75" i="23" s="1"/>
  <c r="D36" i="23"/>
  <c r="D74" i="23" s="1"/>
  <c r="D38" i="23"/>
  <c r="D76" i="23" s="1"/>
  <c r="H4" i="33"/>
  <c r="D90" i="23" l="1"/>
  <c r="D116" i="23" s="1"/>
  <c r="D57" i="23"/>
  <c r="D88" i="23"/>
  <c r="D55" i="23"/>
  <c r="D89" i="23"/>
  <c r="D115" i="23" s="1"/>
  <c r="D56" i="23"/>
  <c r="I4" i="33"/>
  <c r="D7" i="27"/>
  <c r="C7" i="27"/>
  <c r="D6" i="27"/>
  <c r="C6" i="27"/>
  <c r="C6" i="37"/>
  <c r="E45" i="18"/>
  <c r="E44" i="18"/>
  <c r="F4" i="38"/>
  <c r="C4" i="38"/>
  <c r="D64" i="1"/>
  <c r="F4" i="37"/>
  <c r="C4" i="37"/>
  <c r="E40" i="18"/>
  <c r="D101" i="23" l="1"/>
  <c r="D114" i="23"/>
  <c r="D102" i="23"/>
  <c r="D103" i="23"/>
  <c r="C8" i="37"/>
  <c r="D130" i="24"/>
  <c r="J4" i="33"/>
  <c r="G4" i="37"/>
  <c r="G4" i="38"/>
  <c r="C8" i="27"/>
  <c r="D8" i="27"/>
  <c r="C4" i="33"/>
  <c r="K4" i="33" l="1"/>
  <c r="H4" i="37"/>
  <c r="H4" i="38"/>
  <c r="C54" i="5"/>
  <c r="L4" i="33" l="1"/>
  <c r="I4" i="37"/>
  <c r="I4" i="38"/>
  <c r="M4" i="33" l="1"/>
  <c r="J4" i="37"/>
  <c r="J4" i="38"/>
  <c r="N4" i="33" l="1"/>
  <c r="K4" i="37"/>
  <c r="K4" i="38"/>
  <c r="E23" i="18"/>
  <c r="O4" i="33" l="1"/>
  <c r="L4" i="37"/>
  <c r="L4" i="38"/>
  <c r="E18" i="18"/>
  <c r="F9" i="18"/>
  <c r="E9" i="18"/>
  <c r="E11" i="18"/>
  <c r="E10" i="18" s="1"/>
  <c r="P4" i="33" l="1"/>
  <c r="M4" i="37"/>
  <c r="M4" i="38"/>
  <c r="Q4" i="33" l="1"/>
  <c r="N4" i="37"/>
  <c r="N4" i="38"/>
  <c r="R4" i="33" l="1"/>
  <c r="O4" i="37"/>
  <c r="O4" i="38"/>
  <c r="H4" i="18"/>
  <c r="F4" i="32"/>
  <c r="C4" i="32"/>
  <c r="D89" i="1"/>
  <c r="D88" i="1"/>
  <c r="D80" i="1" s="1"/>
  <c r="D137" i="24" s="1"/>
  <c r="D87" i="1"/>
  <c r="D85" i="1"/>
  <c r="C6" i="38" l="1"/>
  <c r="C7" i="32"/>
  <c r="D149" i="24"/>
  <c r="C9" i="32"/>
  <c r="D150" i="24"/>
  <c r="C10" i="32"/>
  <c r="D151" i="24"/>
  <c r="C6" i="32"/>
  <c r="D148" i="24"/>
  <c r="S4" i="33"/>
  <c r="P4" i="37"/>
  <c r="P4" i="38"/>
  <c r="G4" i="32"/>
  <c r="I4" i="18"/>
  <c r="T4" i="33" l="1"/>
  <c r="Q4" i="37"/>
  <c r="Q4" i="38"/>
  <c r="H4" i="32"/>
  <c r="J4" i="18"/>
  <c r="U4" i="33" l="1"/>
  <c r="R4" i="37"/>
  <c r="R4" i="38"/>
  <c r="I4" i="32"/>
  <c r="K4" i="18"/>
  <c r="V4" i="33" l="1"/>
  <c r="S4" i="37"/>
  <c r="S4" i="38"/>
  <c r="J4" i="32"/>
  <c r="L4" i="18"/>
  <c r="W4" i="33" l="1"/>
  <c r="T4" i="37"/>
  <c r="T4" i="38"/>
  <c r="K4" i="32"/>
  <c r="M4" i="18"/>
  <c r="X4" i="33" l="1"/>
  <c r="U4" i="37"/>
  <c r="U4" i="38"/>
  <c r="L4" i="32"/>
  <c r="N4" i="18"/>
  <c r="Y4" i="33" l="1"/>
  <c r="V4" i="37"/>
  <c r="V4" i="38"/>
  <c r="M4" i="32"/>
  <c r="O4" i="18"/>
  <c r="Z4" i="33" l="1"/>
  <c r="W4" i="37"/>
  <c r="W4" i="38"/>
  <c r="N4" i="32"/>
  <c r="P4" i="18"/>
  <c r="AA4" i="33" l="1"/>
  <c r="X4" i="37"/>
  <c r="X4" i="38"/>
  <c r="O4" i="32"/>
  <c r="Q4" i="18"/>
  <c r="AB4" i="33" l="1"/>
  <c r="Y4" i="37"/>
  <c r="Y4" i="38"/>
  <c r="R4" i="18"/>
  <c r="P4" i="32"/>
  <c r="S4" i="18" l="1"/>
  <c r="AC4" i="33"/>
  <c r="Z4" i="37"/>
  <c r="Z4" i="38"/>
  <c r="Q4" i="32"/>
  <c r="T4" i="18" l="1"/>
  <c r="AD4" i="33"/>
  <c r="AA4" i="37"/>
  <c r="AA4" i="38"/>
  <c r="R4" i="32"/>
  <c r="U4" i="18" l="1"/>
  <c r="AE4" i="33"/>
  <c r="AB4" i="37"/>
  <c r="AB4" i="38"/>
  <c r="S4" i="32"/>
  <c r="V4" i="18" l="1"/>
  <c r="AF4" i="33"/>
  <c r="AC4" i="37"/>
  <c r="AC4" i="38"/>
  <c r="T4" i="32"/>
  <c r="W4" i="18" l="1"/>
  <c r="AG4" i="33"/>
  <c r="AD4" i="37"/>
  <c r="AD4" i="38"/>
  <c r="U4" i="32"/>
  <c r="X4" i="18" l="1"/>
  <c r="AH4" i="33"/>
  <c r="AE4" i="37"/>
  <c r="AE4" i="38"/>
  <c r="V4" i="32"/>
  <c r="Y4" i="18" l="1"/>
  <c r="AI4" i="33"/>
  <c r="AF4" i="37"/>
  <c r="AF4" i="38"/>
  <c r="W4" i="32"/>
  <c r="Z4" i="18" l="1"/>
  <c r="AJ4" i="33"/>
  <c r="AG4" i="37"/>
  <c r="AG4" i="38"/>
  <c r="X4" i="32"/>
  <c r="AA4" i="18" l="1"/>
  <c r="AB4" i="18" s="1"/>
  <c r="AK4" i="33"/>
  <c r="AH4" i="37"/>
  <c r="AH4" i="38"/>
  <c r="Y4" i="32"/>
  <c r="AL4" i="33" l="1"/>
  <c r="AI4" i="37"/>
  <c r="AI4" i="38"/>
  <c r="Z4" i="32"/>
  <c r="AC4" i="18"/>
  <c r="AM4" i="33" l="1"/>
  <c r="AJ4" i="37"/>
  <c r="AJ4" i="38"/>
  <c r="AA4" i="32"/>
  <c r="AD4" i="18"/>
  <c r="AK4" i="37" l="1"/>
  <c r="AK4" i="38"/>
  <c r="AB4" i="32"/>
  <c r="AE4" i="18"/>
  <c r="AL4" i="37" l="1"/>
  <c r="AL4" i="38"/>
  <c r="AC4" i="32"/>
  <c r="AF4" i="18"/>
  <c r="AM4" i="37" l="1"/>
  <c r="AN4" i="37" s="1"/>
  <c r="AM4" i="38"/>
  <c r="AD4" i="32"/>
  <c r="AG4" i="18"/>
  <c r="AE4" i="32" l="1"/>
  <c r="AH4" i="18"/>
  <c r="AF4" i="32" l="1"/>
  <c r="AI4" i="18"/>
  <c r="AG4" i="32" l="1"/>
  <c r="AJ4" i="18"/>
  <c r="AH4" i="32" l="1"/>
  <c r="AK4" i="18"/>
  <c r="AI4" i="32" l="1"/>
  <c r="AL4" i="18"/>
  <c r="AJ4" i="32" l="1"/>
  <c r="AM4" i="18"/>
  <c r="AN4" i="18" l="1"/>
  <c r="AO4" i="18" s="1"/>
  <c r="AP4" i="18" s="1"/>
  <c r="AK4" i="32"/>
  <c r="AL4" i="32" l="1"/>
  <c r="AM4" i="32" l="1"/>
  <c r="D14" i="1"/>
  <c r="AO5" i="18" l="1"/>
  <c r="AO52" i="18" s="1"/>
  <c r="AO53" i="18" s="1"/>
  <c r="AM11" i="38" s="1"/>
  <c r="AM5" i="40"/>
  <c r="AL5" i="40"/>
  <c r="AP5" i="18"/>
  <c r="D5" i="40"/>
  <c r="H5" i="40"/>
  <c r="L5" i="40"/>
  <c r="P5" i="40"/>
  <c r="T5" i="40"/>
  <c r="X5" i="40"/>
  <c r="AB5" i="40"/>
  <c r="AF5" i="40"/>
  <c r="AJ5" i="40"/>
  <c r="E5" i="40"/>
  <c r="I5" i="40"/>
  <c r="M5" i="40"/>
  <c r="Q5" i="40"/>
  <c r="U5" i="40"/>
  <c r="Y5" i="40"/>
  <c r="AC5" i="40"/>
  <c r="AG5" i="40"/>
  <c r="AK5" i="40"/>
  <c r="F5" i="40"/>
  <c r="J5" i="40"/>
  <c r="N5" i="40"/>
  <c r="R5" i="40"/>
  <c r="V5" i="40"/>
  <c r="Z5" i="40"/>
  <c r="AD5" i="40"/>
  <c r="AH5" i="40"/>
  <c r="G5" i="40"/>
  <c r="K5" i="40"/>
  <c r="O5" i="40"/>
  <c r="S5" i="40"/>
  <c r="W5" i="40"/>
  <c r="AA5" i="40"/>
  <c r="AE5" i="40"/>
  <c r="AI5" i="40"/>
  <c r="F13" i="27"/>
  <c r="D92" i="23" s="1"/>
  <c r="G5" i="18"/>
  <c r="G52" i="18" s="1"/>
  <c r="G53" i="18" s="1"/>
  <c r="E11" i="38" s="1"/>
  <c r="H5" i="18"/>
  <c r="I5" i="18"/>
  <c r="J5" i="18"/>
  <c r="K5" i="18"/>
  <c r="L5" i="18"/>
  <c r="M5" i="18"/>
  <c r="N5" i="18"/>
  <c r="O5" i="18"/>
  <c r="P5" i="18"/>
  <c r="Q5" i="18"/>
  <c r="R5" i="18"/>
  <c r="S5" i="18"/>
  <c r="T5" i="18"/>
  <c r="U5" i="18"/>
  <c r="V5" i="18"/>
  <c r="W5" i="18"/>
  <c r="X5" i="18"/>
  <c r="Y5" i="18"/>
  <c r="Z5" i="18"/>
  <c r="Z9" i="18" s="1"/>
  <c r="AA5" i="18"/>
  <c r="AB5" i="18"/>
  <c r="AC5" i="18"/>
  <c r="AD5" i="18"/>
  <c r="AE5" i="18"/>
  <c r="AF5" i="18"/>
  <c r="AG5" i="18"/>
  <c r="AH5" i="18"/>
  <c r="AI5" i="18"/>
  <c r="AJ5" i="18"/>
  <c r="AK5" i="18"/>
  <c r="AL5" i="18"/>
  <c r="AM5" i="18"/>
  <c r="AN5" i="18"/>
  <c r="AO56" i="18" l="1"/>
  <c r="AO57" i="18" s="1"/>
  <c r="AM12" i="38" s="1"/>
  <c r="AO32" i="18"/>
  <c r="AO37" i="18" s="1"/>
  <c r="AO45" i="18" s="1"/>
  <c r="AM20" i="38" s="1"/>
  <c r="AO9" i="18"/>
  <c r="AO13" i="18" s="1"/>
  <c r="AO31" i="18"/>
  <c r="AO36" i="18" s="1"/>
  <c r="AO44" i="18" s="1"/>
  <c r="AP56" i="18"/>
  <c r="AP9" i="18"/>
  <c r="AP31" i="18"/>
  <c r="AP32" i="18"/>
  <c r="AP37" i="18" s="1"/>
  <c r="AP45" i="18" s="1"/>
  <c r="AN20" i="38" s="1"/>
  <c r="AN21" i="38" s="1"/>
  <c r="AP52" i="18"/>
  <c r="AP53" i="18" s="1"/>
  <c r="AN11" i="38" s="1"/>
  <c r="AL17" i="40"/>
  <c r="AL20" i="40" s="1"/>
  <c r="AL18" i="40"/>
  <c r="AL21" i="40" s="1"/>
  <c r="AL29" i="40"/>
  <c r="AL32" i="40" s="1"/>
  <c r="AL35" i="40" s="1"/>
  <c r="AL28" i="40"/>
  <c r="AL31" i="40" s="1"/>
  <c r="AL34" i="40" s="1"/>
  <c r="AM18" i="40"/>
  <c r="AM21" i="40" s="1"/>
  <c r="AM24" i="40" s="1"/>
  <c r="AM29" i="40"/>
  <c r="AM32" i="40" s="1"/>
  <c r="AM17" i="40"/>
  <c r="AM20" i="40" s="1"/>
  <c r="AM28" i="40"/>
  <c r="AM31" i="40" s="1"/>
  <c r="AM34" i="40" s="1"/>
  <c r="D105" i="23"/>
  <c r="AO10" i="18"/>
  <c r="AO14" i="18" s="1"/>
  <c r="AO18" i="18" s="1"/>
  <c r="AO58" i="18"/>
  <c r="AM16" i="38" s="1"/>
  <c r="AM17" i="38" s="1"/>
  <c r="W17" i="40"/>
  <c r="W20" i="40" s="1"/>
  <c r="W29" i="40"/>
  <c r="W32" i="40" s="1"/>
  <c r="W35" i="40" s="1"/>
  <c r="W28" i="40"/>
  <c r="W31" i="40" s="1"/>
  <c r="W34" i="40" s="1"/>
  <c r="W18" i="40"/>
  <c r="W21" i="40" s="1"/>
  <c r="G18" i="40"/>
  <c r="G21" i="40" s="1"/>
  <c r="G28" i="40"/>
  <c r="G31" i="40" s="1"/>
  <c r="G34" i="40" s="1"/>
  <c r="G29" i="40"/>
  <c r="G32" i="40" s="1"/>
  <c r="G35" i="40" s="1"/>
  <c r="G17" i="40"/>
  <c r="G20" i="40" s="1"/>
  <c r="Z18" i="40"/>
  <c r="Z21" i="40" s="1"/>
  <c r="Z29" i="40"/>
  <c r="Z32" i="40" s="1"/>
  <c r="Z35" i="40" s="1"/>
  <c r="Z28" i="40"/>
  <c r="Z31" i="40" s="1"/>
  <c r="Z34" i="40" s="1"/>
  <c r="Z17" i="40"/>
  <c r="Z20" i="40" s="1"/>
  <c r="J28" i="40"/>
  <c r="J31" i="40" s="1"/>
  <c r="J34" i="40" s="1"/>
  <c r="J17" i="40"/>
  <c r="J20" i="40" s="1"/>
  <c r="J29" i="40"/>
  <c r="J32" i="40" s="1"/>
  <c r="J35" i="40" s="1"/>
  <c r="J18" i="40"/>
  <c r="J21" i="40" s="1"/>
  <c r="AC17" i="40"/>
  <c r="AC20" i="40" s="1"/>
  <c r="AC28" i="40"/>
  <c r="AC31" i="40" s="1"/>
  <c r="AC34" i="40" s="1"/>
  <c r="AC18" i="40"/>
  <c r="AC21" i="40" s="1"/>
  <c r="AC29" i="40"/>
  <c r="AC32" i="40" s="1"/>
  <c r="AC35" i="40" s="1"/>
  <c r="M17" i="40"/>
  <c r="M20" i="40" s="1"/>
  <c r="M29" i="40"/>
  <c r="M32" i="40" s="1"/>
  <c r="M35" i="40" s="1"/>
  <c r="M28" i="40"/>
  <c r="M31" i="40" s="1"/>
  <c r="M34" i="40" s="1"/>
  <c r="M18" i="40"/>
  <c r="M21" i="40" s="1"/>
  <c r="AF17" i="40"/>
  <c r="AF20" i="40" s="1"/>
  <c r="AF18" i="40"/>
  <c r="AF21" i="40" s="1"/>
  <c r="AF29" i="40"/>
  <c r="AF32" i="40" s="1"/>
  <c r="AF35" i="40" s="1"/>
  <c r="AF28" i="40"/>
  <c r="AF31" i="40" s="1"/>
  <c r="AF34" i="40" s="1"/>
  <c r="P28" i="40"/>
  <c r="P31" i="40" s="1"/>
  <c r="P34" i="40" s="1"/>
  <c r="P18" i="40"/>
  <c r="P21" i="40" s="1"/>
  <c r="P29" i="40"/>
  <c r="P32" i="40" s="1"/>
  <c r="P35" i="40" s="1"/>
  <c r="P17" i="40"/>
  <c r="P20" i="40" s="1"/>
  <c r="AI18" i="40"/>
  <c r="AI21" i="40" s="1"/>
  <c r="AI28" i="40"/>
  <c r="AI31" i="40" s="1"/>
  <c r="AI34" i="40" s="1"/>
  <c r="AI17" i="40"/>
  <c r="AI20" i="40" s="1"/>
  <c r="AI29" i="40"/>
  <c r="AI32" i="40" s="1"/>
  <c r="AI35" i="40" s="1"/>
  <c r="S18" i="40"/>
  <c r="S21" i="40" s="1"/>
  <c r="S29" i="40"/>
  <c r="S32" i="40" s="1"/>
  <c r="S35" i="40" s="1"/>
  <c r="S17" i="40"/>
  <c r="S20" i="40" s="1"/>
  <c r="S28" i="40"/>
  <c r="S31" i="40" s="1"/>
  <c r="S34" i="40" s="1"/>
  <c r="V18" i="40"/>
  <c r="V21" i="40" s="1"/>
  <c r="V29" i="40"/>
  <c r="V32" i="40" s="1"/>
  <c r="V35" i="40" s="1"/>
  <c r="V28" i="40"/>
  <c r="V31" i="40" s="1"/>
  <c r="V34" i="40" s="1"/>
  <c r="V17" i="40"/>
  <c r="V20" i="40" s="1"/>
  <c r="F28" i="40"/>
  <c r="F31" i="40" s="1"/>
  <c r="F34" i="40" s="1"/>
  <c r="F17" i="40"/>
  <c r="F20" i="40" s="1"/>
  <c r="F29" i="40"/>
  <c r="F32" i="40" s="1"/>
  <c r="F35" i="40" s="1"/>
  <c r="F18" i="40"/>
  <c r="F21" i="40" s="1"/>
  <c r="Y29" i="40"/>
  <c r="Y32" i="40" s="1"/>
  <c r="Y35" i="40" s="1"/>
  <c r="Y28" i="40"/>
  <c r="Y31" i="40" s="1"/>
  <c r="Y34" i="40" s="1"/>
  <c r="Y17" i="40"/>
  <c r="Y20" i="40" s="1"/>
  <c r="Y18" i="40"/>
  <c r="Y21" i="40" s="1"/>
  <c r="I28" i="40"/>
  <c r="I31" i="40" s="1"/>
  <c r="I34" i="40" s="1"/>
  <c r="I17" i="40"/>
  <c r="I20" i="40" s="1"/>
  <c r="I18" i="40"/>
  <c r="I21" i="40" s="1"/>
  <c r="I29" i="40"/>
  <c r="I32" i="40" s="1"/>
  <c r="I35" i="40" s="1"/>
  <c r="AB17" i="40"/>
  <c r="AB20" i="40" s="1"/>
  <c r="AB29" i="40"/>
  <c r="AB32" i="40" s="1"/>
  <c r="AB35" i="40" s="1"/>
  <c r="AB28" i="40"/>
  <c r="AB31" i="40" s="1"/>
  <c r="AB34" i="40" s="1"/>
  <c r="AB18" i="40"/>
  <c r="AB21" i="40" s="1"/>
  <c r="L17" i="40"/>
  <c r="L20" i="40" s="1"/>
  <c r="L29" i="40"/>
  <c r="L32" i="40" s="1"/>
  <c r="L35" i="40" s="1"/>
  <c r="L28" i="40"/>
  <c r="L31" i="40" s="1"/>
  <c r="L34" i="40" s="1"/>
  <c r="L18" i="40"/>
  <c r="L21" i="40" s="1"/>
  <c r="AE18" i="40"/>
  <c r="AE21" i="40" s="1"/>
  <c r="AE29" i="40"/>
  <c r="AE32" i="40" s="1"/>
  <c r="AE35" i="40" s="1"/>
  <c r="AE28" i="40"/>
  <c r="AE31" i="40" s="1"/>
  <c r="AE34" i="40" s="1"/>
  <c r="AE17" i="40"/>
  <c r="AE20" i="40" s="1"/>
  <c r="O28" i="40"/>
  <c r="O31" i="40" s="1"/>
  <c r="O34" i="40" s="1"/>
  <c r="O18" i="40"/>
  <c r="O21" i="40" s="1"/>
  <c r="O17" i="40"/>
  <c r="O20" i="40" s="1"/>
  <c r="O29" i="40"/>
  <c r="O32" i="40" s="1"/>
  <c r="O35" i="40" s="1"/>
  <c r="AH17" i="40"/>
  <c r="AH20" i="40" s="1"/>
  <c r="AH29" i="40"/>
  <c r="AH32" i="40" s="1"/>
  <c r="AH35" i="40" s="1"/>
  <c r="AH18" i="40"/>
  <c r="AH21" i="40" s="1"/>
  <c r="AH28" i="40"/>
  <c r="AH31" i="40" s="1"/>
  <c r="AH34" i="40" s="1"/>
  <c r="R18" i="40"/>
  <c r="R21" i="40" s="1"/>
  <c r="R17" i="40"/>
  <c r="R20" i="40" s="1"/>
  <c r="R28" i="40"/>
  <c r="R31" i="40" s="1"/>
  <c r="R34" i="40" s="1"/>
  <c r="R29" i="40"/>
  <c r="R32" i="40" s="1"/>
  <c r="R35" i="40" s="1"/>
  <c r="AK17" i="40"/>
  <c r="AK20" i="40" s="1"/>
  <c r="AK29" i="40"/>
  <c r="AK32" i="40" s="1"/>
  <c r="AK35" i="40" s="1"/>
  <c r="AK18" i="40"/>
  <c r="AK21" i="40" s="1"/>
  <c r="AK28" i="40"/>
  <c r="AK31" i="40" s="1"/>
  <c r="AK34" i="40" s="1"/>
  <c r="U29" i="40"/>
  <c r="U32" i="40" s="1"/>
  <c r="U35" i="40" s="1"/>
  <c r="U28" i="40"/>
  <c r="U31" i="40" s="1"/>
  <c r="U34" i="40" s="1"/>
  <c r="U17" i="40"/>
  <c r="U20" i="40" s="1"/>
  <c r="U18" i="40"/>
  <c r="U21" i="40" s="1"/>
  <c r="E28" i="40"/>
  <c r="E31" i="40" s="1"/>
  <c r="E34" i="40" s="1"/>
  <c r="E29" i="40"/>
  <c r="E32" i="40" s="1"/>
  <c r="E35" i="40" s="1"/>
  <c r="E18" i="40"/>
  <c r="E21" i="40" s="1"/>
  <c r="E17" i="40"/>
  <c r="E20" i="40" s="1"/>
  <c r="X18" i="40"/>
  <c r="X21" i="40" s="1"/>
  <c r="X29" i="40"/>
  <c r="X32" i="40" s="1"/>
  <c r="X35" i="40" s="1"/>
  <c r="X28" i="40"/>
  <c r="X31" i="40" s="1"/>
  <c r="X34" i="40" s="1"/>
  <c r="X17" i="40"/>
  <c r="X20" i="40" s="1"/>
  <c r="H17" i="40"/>
  <c r="H20" i="40" s="1"/>
  <c r="H29" i="40"/>
  <c r="H32" i="40" s="1"/>
  <c r="H35" i="40" s="1"/>
  <c r="H28" i="40"/>
  <c r="H31" i="40" s="1"/>
  <c r="H34" i="40" s="1"/>
  <c r="H18" i="40"/>
  <c r="H21" i="40" s="1"/>
  <c r="AA29" i="40"/>
  <c r="AA32" i="40" s="1"/>
  <c r="AA35" i="40" s="1"/>
  <c r="AA17" i="40"/>
  <c r="AA20" i="40" s="1"/>
  <c r="AA28" i="40"/>
  <c r="AA31" i="40" s="1"/>
  <c r="AA34" i="40" s="1"/>
  <c r="AA18" i="40"/>
  <c r="AA21" i="40" s="1"/>
  <c r="K29" i="40"/>
  <c r="K32" i="40" s="1"/>
  <c r="K35" i="40" s="1"/>
  <c r="K17" i="40"/>
  <c r="K20" i="40" s="1"/>
  <c r="K28" i="40"/>
  <c r="K31" i="40" s="1"/>
  <c r="K34" i="40" s="1"/>
  <c r="K18" i="40"/>
  <c r="K21" i="40" s="1"/>
  <c r="AD29" i="40"/>
  <c r="AD32" i="40" s="1"/>
  <c r="AD35" i="40" s="1"/>
  <c r="AD17" i="40"/>
  <c r="AD20" i="40" s="1"/>
  <c r="AD18" i="40"/>
  <c r="AD21" i="40" s="1"/>
  <c r="AD28" i="40"/>
  <c r="AD31" i="40" s="1"/>
  <c r="AD34" i="40" s="1"/>
  <c r="N28" i="40"/>
  <c r="N31" i="40" s="1"/>
  <c r="N34" i="40" s="1"/>
  <c r="N29" i="40"/>
  <c r="N32" i="40" s="1"/>
  <c r="N35" i="40" s="1"/>
  <c r="N17" i="40"/>
  <c r="N20" i="40" s="1"/>
  <c r="N18" i="40"/>
  <c r="N21" i="40" s="1"/>
  <c r="AG18" i="40"/>
  <c r="AG21" i="40" s="1"/>
  <c r="AG28" i="40"/>
  <c r="AG31" i="40" s="1"/>
  <c r="AG34" i="40" s="1"/>
  <c r="AG17" i="40"/>
  <c r="AG20" i="40" s="1"/>
  <c r="AG29" i="40"/>
  <c r="AG32" i="40" s="1"/>
  <c r="AG35" i="40" s="1"/>
  <c r="Q18" i="40"/>
  <c r="Q21" i="40" s="1"/>
  <c r="Q28" i="40"/>
  <c r="Q31" i="40" s="1"/>
  <c r="Q34" i="40" s="1"/>
  <c r="Q29" i="40"/>
  <c r="Q32" i="40" s="1"/>
  <c r="Q35" i="40" s="1"/>
  <c r="Q17" i="40"/>
  <c r="Q20" i="40" s="1"/>
  <c r="AJ28" i="40"/>
  <c r="AJ31" i="40" s="1"/>
  <c r="AJ34" i="40" s="1"/>
  <c r="AJ17" i="40"/>
  <c r="AJ20" i="40" s="1"/>
  <c r="AJ18" i="40"/>
  <c r="AJ21" i="40" s="1"/>
  <c r="AJ29" i="40"/>
  <c r="AJ32" i="40" s="1"/>
  <c r="AJ35" i="40" s="1"/>
  <c r="T28" i="40"/>
  <c r="T31" i="40" s="1"/>
  <c r="T34" i="40" s="1"/>
  <c r="T18" i="40"/>
  <c r="T21" i="40" s="1"/>
  <c r="T29" i="40"/>
  <c r="T32" i="40" s="1"/>
  <c r="T35" i="40" s="1"/>
  <c r="T17" i="40"/>
  <c r="T20" i="40" s="1"/>
  <c r="D29" i="40"/>
  <c r="D32" i="40" s="1"/>
  <c r="D35" i="40" s="1"/>
  <c r="D18" i="40"/>
  <c r="D21" i="40" s="1"/>
  <c r="D17" i="40"/>
  <c r="D20" i="40" s="1"/>
  <c r="D28" i="40"/>
  <c r="D31" i="40" s="1"/>
  <c r="D34" i="40" s="1"/>
  <c r="AL56" i="18"/>
  <c r="Z56" i="18"/>
  <c r="N56" i="18"/>
  <c r="AK56" i="18"/>
  <c r="AG56" i="18"/>
  <c r="AC56" i="18"/>
  <c r="Y56" i="18"/>
  <c r="U56" i="18"/>
  <c r="Q56" i="18"/>
  <c r="M56" i="18"/>
  <c r="I56" i="18"/>
  <c r="AD56" i="18"/>
  <c r="R56" i="18"/>
  <c r="AN56" i="18"/>
  <c r="AJ56" i="18"/>
  <c r="AF56" i="18"/>
  <c r="AB56" i="18"/>
  <c r="X56" i="18"/>
  <c r="T56" i="18"/>
  <c r="P56" i="18"/>
  <c r="L56" i="18"/>
  <c r="H56" i="18"/>
  <c r="AH56" i="18"/>
  <c r="V56" i="18"/>
  <c r="J56" i="18"/>
  <c r="AM56" i="18"/>
  <c r="AI56" i="18"/>
  <c r="AE56" i="18"/>
  <c r="AA56" i="18"/>
  <c r="W56" i="18"/>
  <c r="S56" i="18"/>
  <c r="O56" i="18"/>
  <c r="K56" i="18"/>
  <c r="G56" i="18"/>
  <c r="T52" i="18"/>
  <c r="T53" i="18" s="1"/>
  <c r="R11" i="38" s="1"/>
  <c r="H52" i="18"/>
  <c r="H53" i="18" s="1"/>
  <c r="F11" i="38" s="1"/>
  <c r="AM52" i="18"/>
  <c r="AM53" i="18" s="1"/>
  <c r="AK11" i="38" s="1"/>
  <c r="AI52" i="18"/>
  <c r="AI53" i="18" s="1"/>
  <c r="AG11" i="38" s="1"/>
  <c r="AE52" i="18"/>
  <c r="AE53" i="18" s="1"/>
  <c r="AC11" i="38" s="1"/>
  <c r="AA52" i="18"/>
  <c r="AA53" i="18" s="1"/>
  <c r="Y11" i="38" s="1"/>
  <c r="W52" i="18"/>
  <c r="W53" i="18" s="1"/>
  <c r="U11" i="38" s="1"/>
  <c r="S52" i="18"/>
  <c r="S53" i="18" s="1"/>
  <c r="Q11" i="38" s="1"/>
  <c r="O52" i="18"/>
  <c r="O53" i="18" s="1"/>
  <c r="M11" i="38" s="1"/>
  <c r="K52" i="18"/>
  <c r="K53" i="18" s="1"/>
  <c r="I11" i="38" s="1"/>
  <c r="G9" i="18"/>
  <c r="G13" i="18" s="1"/>
  <c r="AK52" i="18"/>
  <c r="AK53" i="18" s="1"/>
  <c r="AI11" i="38" s="1"/>
  <c r="AG52" i="18"/>
  <c r="AG53" i="18" s="1"/>
  <c r="AE11" i="38" s="1"/>
  <c r="AC52" i="18"/>
  <c r="AC53" i="18" s="1"/>
  <c r="AA11" i="38" s="1"/>
  <c r="Y52" i="18"/>
  <c r="Y53" i="18" s="1"/>
  <c r="W11" i="38" s="1"/>
  <c r="U52" i="18"/>
  <c r="U53" i="18" s="1"/>
  <c r="S11" i="38" s="1"/>
  <c r="Q52" i="18"/>
  <c r="Q53" i="18" s="1"/>
  <c r="O11" i="38" s="1"/>
  <c r="M52" i="18"/>
  <c r="M53" i="18" s="1"/>
  <c r="K11" i="38" s="1"/>
  <c r="I52" i="18"/>
  <c r="I53" i="18" s="1"/>
  <c r="G11" i="38" s="1"/>
  <c r="AN52" i="18"/>
  <c r="AN53" i="18" s="1"/>
  <c r="AL11" i="38" s="1"/>
  <c r="AJ52" i="18"/>
  <c r="AJ53" i="18" s="1"/>
  <c r="AH11" i="38" s="1"/>
  <c r="AF52" i="18"/>
  <c r="AF53" i="18" s="1"/>
  <c r="AD11" i="38" s="1"/>
  <c r="AB52" i="18"/>
  <c r="AB53" i="18" s="1"/>
  <c r="Z11" i="38" s="1"/>
  <c r="X52" i="18"/>
  <c r="X53" i="18" s="1"/>
  <c r="V11" i="38" s="1"/>
  <c r="P52" i="18"/>
  <c r="P53" i="18" s="1"/>
  <c r="N11" i="38" s="1"/>
  <c r="L52" i="18"/>
  <c r="L53" i="18" s="1"/>
  <c r="J11" i="38" s="1"/>
  <c r="AL52" i="18"/>
  <c r="AL53" i="18" s="1"/>
  <c r="AJ11" i="38" s="1"/>
  <c r="AH52" i="18"/>
  <c r="AH53" i="18" s="1"/>
  <c r="AF11" i="38" s="1"/>
  <c r="AD52" i="18"/>
  <c r="AD53" i="18" s="1"/>
  <c r="AB11" i="38" s="1"/>
  <c r="Z52" i="18"/>
  <c r="Z53" i="18" s="1"/>
  <c r="X11" i="38" s="1"/>
  <c r="V52" i="18"/>
  <c r="V53" i="18" s="1"/>
  <c r="T11" i="38" s="1"/>
  <c r="R52" i="18"/>
  <c r="R53" i="18" s="1"/>
  <c r="P11" i="38" s="1"/>
  <c r="N52" i="18"/>
  <c r="N53" i="18" s="1"/>
  <c r="L11" i="38" s="1"/>
  <c r="J52" i="18"/>
  <c r="J53" i="18" s="1"/>
  <c r="H11" i="38" s="1"/>
  <c r="G31" i="18"/>
  <c r="AG31" i="18"/>
  <c r="AG32" i="18"/>
  <c r="AG37" i="18" s="1"/>
  <c r="Y32" i="18"/>
  <c r="Y37" i="18" s="1"/>
  <c r="Y31" i="18"/>
  <c r="Q32" i="18"/>
  <c r="Q37" i="18" s="1"/>
  <c r="Q31" i="18"/>
  <c r="M32" i="18"/>
  <c r="M37" i="18" s="1"/>
  <c r="M31" i="18"/>
  <c r="AN31" i="18"/>
  <c r="AN32" i="18"/>
  <c r="AN37" i="18" s="1"/>
  <c r="AF32" i="18"/>
  <c r="AF37" i="18" s="1"/>
  <c r="AF31" i="18"/>
  <c r="X31" i="18"/>
  <c r="X32" i="18"/>
  <c r="X37" i="18" s="1"/>
  <c r="P31" i="18"/>
  <c r="P32" i="18"/>
  <c r="P37" i="18" s="1"/>
  <c r="H31" i="18"/>
  <c r="H32" i="18"/>
  <c r="H37" i="18" s="1"/>
  <c r="AM32" i="18"/>
  <c r="AM37" i="18" s="1"/>
  <c r="AM31" i="18"/>
  <c r="AE31" i="18"/>
  <c r="AE32" i="18"/>
  <c r="AE37" i="18" s="1"/>
  <c r="AA32" i="18"/>
  <c r="AA37" i="18" s="1"/>
  <c r="AA31" i="18"/>
  <c r="W31" i="18"/>
  <c r="W32" i="18"/>
  <c r="W37" i="18" s="1"/>
  <c r="S31" i="18"/>
  <c r="S32" i="18"/>
  <c r="S37" i="18" s="1"/>
  <c r="O32" i="18"/>
  <c r="O37" i="18" s="1"/>
  <c r="O31" i="18"/>
  <c r="K32" i="18"/>
  <c r="K37" i="18" s="1"/>
  <c r="K31" i="18"/>
  <c r="G32" i="18"/>
  <c r="G37" i="18" s="1"/>
  <c r="G45" i="18" s="1"/>
  <c r="E20" i="38" s="1"/>
  <c r="AK32" i="18"/>
  <c r="AK37" i="18" s="1"/>
  <c r="AK31" i="18"/>
  <c r="AC31" i="18"/>
  <c r="AC32" i="18"/>
  <c r="AC37" i="18" s="1"/>
  <c r="U31" i="18"/>
  <c r="U32" i="18"/>
  <c r="U37" i="18" s="1"/>
  <c r="I32" i="18"/>
  <c r="I37" i="18" s="1"/>
  <c r="I31" i="18"/>
  <c r="AJ31" i="18"/>
  <c r="AJ32" i="18"/>
  <c r="AJ37" i="18" s="1"/>
  <c r="AB32" i="18"/>
  <c r="AB37" i="18" s="1"/>
  <c r="AB31" i="18"/>
  <c r="T31" i="18"/>
  <c r="T32" i="18"/>
  <c r="T37" i="18" s="1"/>
  <c r="L31" i="18"/>
  <c r="L36" i="18" s="1"/>
  <c r="J11" i="37" s="1"/>
  <c r="L32" i="18"/>
  <c r="L37" i="18" s="1"/>
  <c r="AI32" i="18"/>
  <c r="AI37" i="18" s="1"/>
  <c r="AI31" i="18"/>
  <c r="AL32" i="18"/>
  <c r="AL37" i="18" s="1"/>
  <c r="AL31" i="18"/>
  <c r="AH31" i="18"/>
  <c r="AH32" i="18"/>
  <c r="AH37" i="18" s="1"/>
  <c r="AD32" i="18"/>
  <c r="AD37" i="18" s="1"/>
  <c r="AD31" i="18"/>
  <c r="Z31" i="18"/>
  <c r="Z32" i="18"/>
  <c r="Z37" i="18" s="1"/>
  <c r="V31" i="18"/>
  <c r="V32" i="18"/>
  <c r="V37" i="18" s="1"/>
  <c r="R31" i="18"/>
  <c r="R32" i="18"/>
  <c r="R37" i="18" s="1"/>
  <c r="N31" i="18"/>
  <c r="N32" i="18"/>
  <c r="N37" i="18" s="1"/>
  <c r="J31" i="18"/>
  <c r="J32" i="18"/>
  <c r="J37" i="18" s="1"/>
  <c r="AL9" i="18"/>
  <c r="AL13" i="18" s="1"/>
  <c r="F104" i="24" s="1"/>
  <c r="AD9" i="18"/>
  <c r="AD13" i="18" s="1"/>
  <c r="V9" i="18"/>
  <c r="V13" i="18" s="1"/>
  <c r="N9" i="18"/>
  <c r="N13" i="18" s="1"/>
  <c r="AK9" i="18"/>
  <c r="AK13" i="18" s="1"/>
  <c r="AG9" i="18"/>
  <c r="AG13" i="18" s="1"/>
  <c r="AC9" i="18"/>
  <c r="AC13" i="18" s="1"/>
  <c r="Y9" i="18"/>
  <c r="Y13" i="18" s="1"/>
  <c r="U9" i="18"/>
  <c r="U13" i="18" s="1"/>
  <c r="Q9" i="18"/>
  <c r="Q13" i="18" s="1"/>
  <c r="M9" i="18"/>
  <c r="M13" i="18" s="1"/>
  <c r="I9" i="18"/>
  <c r="I13" i="18" s="1"/>
  <c r="R9" i="18"/>
  <c r="R13" i="18" s="1"/>
  <c r="AN9" i="18"/>
  <c r="AJ9" i="18"/>
  <c r="AJ13" i="18" s="1"/>
  <c r="AF9" i="18"/>
  <c r="AF13" i="18" s="1"/>
  <c r="AB9" i="18"/>
  <c r="AB13" i="18" s="1"/>
  <c r="E104" i="24" s="1"/>
  <c r="X9" i="18"/>
  <c r="X13" i="18" s="1"/>
  <c r="T9" i="18"/>
  <c r="T13" i="18" s="1"/>
  <c r="P9" i="18"/>
  <c r="P13" i="18" s="1"/>
  <c r="L9" i="18"/>
  <c r="L13" i="18" s="1"/>
  <c r="H9" i="18"/>
  <c r="H13" i="18" s="1"/>
  <c r="AH9" i="18"/>
  <c r="AH13" i="18" s="1"/>
  <c r="Z13" i="18"/>
  <c r="J9" i="18"/>
  <c r="J13" i="18" s="1"/>
  <c r="AM9" i="18"/>
  <c r="AM13" i="18" s="1"/>
  <c r="AI9" i="18"/>
  <c r="AI13" i="18" s="1"/>
  <c r="AE9" i="18"/>
  <c r="AE13" i="18" s="1"/>
  <c r="AA9" i="18"/>
  <c r="AA13" i="18" s="1"/>
  <c r="W9" i="18"/>
  <c r="W13" i="18" s="1"/>
  <c r="S9" i="18"/>
  <c r="S13" i="18" s="1"/>
  <c r="O9" i="18"/>
  <c r="O13" i="18" s="1"/>
  <c r="K9" i="18"/>
  <c r="K13" i="18" s="1"/>
  <c r="E71" i="7"/>
  <c r="F71" i="7"/>
  <c r="C7" i="30"/>
  <c r="C10" i="17"/>
  <c r="C9" i="17"/>
  <c r="C8" i="17"/>
  <c r="C17" i="17"/>
  <c r="C10" i="27"/>
  <c r="AO13" i="27" s="1"/>
  <c r="AO46" i="18" l="1"/>
  <c r="AO38" i="18"/>
  <c r="AO40" i="18" s="1"/>
  <c r="AO41" i="18" s="1"/>
  <c r="AO33" i="18"/>
  <c r="AO11" i="18"/>
  <c r="AO15" i="18" s="1"/>
  <c r="AO19" i="18" s="1"/>
  <c r="AO24" i="18" s="1"/>
  <c r="AL23" i="40"/>
  <c r="AL39" i="40" s="1"/>
  <c r="AP36" i="18"/>
  <c r="AP33" i="18"/>
  <c r="AP10" i="18"/>
  <c r="AP14" i="18" s="1"/>
  <c r="AP18" i="18" s="1"/>
  <c r="AP13" i="18"/>
  <c r="AP11" i="18"/>
  <c r="AP15" i="18" s="1"/>
  <c r="AP19" i="18" s="1"/>
  <c r="AP57" i="18"/>
  <c r="AN12" i="38" s="1"/>
  <c r="AN13" i="38" s="1"/>
  <c r="AP58" i="18"/>
  <c r="AN16" i="38" s="1"/>
  <c r="AN17" i="38" s="1"/>
  <c r="AM23" i="40"/>
  <c r="AM39" i="40" s="1"/>
  <c r="AM41" i="40" s="1"/>
  <c r="AM39" i="23" s="1"/>
  <c r="AM77" i="23" s="1"/>
  <c r="AM35" i="40"/>
  <c r="AM40" i="40" s="1"/>
  <c r="AL24" i="40"/>
  <c r="AL40" i="40" s="1"/>
  <c r="D10" i="27"/>
  <c r="AM92" i="23"/>
  <c r="AO23" i="18"/>
  <c r="G36" i="18"/>
  <c r="G58" i="18"/>
  <c r="E16" i="38" s="1"/>
  <c r="E17" i="38" s="1"/>
  <c r="G57" i="18"/>
  <c r="E12" i="38" s="1"/>
  <c r="K57" i="18"/>
  <c r="I12" i="38" s="1"/>
  <c r="K58" i="18"/>
  <c r="I16" i="38" s="1"/>
  <c r="I17" i="38" s="1"/>
  <c r="S57" i="18"/>
  <c r="Q12" i="38" s="1"/>
  <c r="S58" i="18"/>
  <c r="Q16" i="38" s="1"/>
  <c r="Q17" i="38" s="1"/>
  <c r="AA57" i="18"/>
  <c r="Y12" i="38" s="1"/>
  <c r="AA58" i="18"/>
  <c r="Y16" i="38" s="1"/>
  <c r="Y17" i="38" s="1"/>
  <c r="AI57" i="18"/>
  <c r="AG12" i="38" s="1"/>
  <c r="AI58" i="18"/>
  <c r="AG16" i="38" s="1"/>
  <c r="AG17" i="38" s="1"/>
  <c r="J57" i="18"/>
  <c r="H12" i="38" s="1"/>
  <c r="J58" i="18"/>
  <c r="H16" i="38" s="1"/>
  <c r="H17" i="38" s="1"/>
  <c r="AH57" i="18"/>
  <c r="AF12" i="38" s="1"/>
  <c r="AH58" i="18"/>
  <c r="AF16" i="38" s="1"/>
  <c r="AF17" i="38" s="1"/>
  <c r="L57" i="18"/>
  <c r="J12" i="38" s="1"/>
  <c r="L58" i="18"/>
  <c r="J16" i="38" s="1"/>
  <c r="J17" i="38" s="1"/>
  <c r="T57" i="18"/>
  <c r="R12" i="38" s="1"/>
  <c r="T58" i="18"/>
  <c r="R16" i="38" s="1"/>
  <c r="R17" i="38" s="1"/>
  <c r="AB57" i="18"/>
  <c r="Z12" i="38" s="1"/>
  <c r="AB58" i="18"/>
  <c r="Z16" i="38" s="1"/>
  <c r="Z17" i="38" s="1"/>
  <c r="AJ57" i="18"/>
  <c r="AH12" i="38" s="1"/>
  <c r="AJ58" i="18"/>
  <c r="AH16" i="38" s="1"/>
  <c r="AH17" i="38" s="1"/>
  <c r="R57" i="18"/>
  <c r="P12" i="38" s="1"/>
  <c r="R58" i="18"/>
  <c r="P16" i="38" s="1"/>
  <c r="P17" i="38" s="1"/>
  <c r="I57" i="18"/>
  <c r="G12" i="38" s="1"/>
  <c r="I58" i="18"/>
  <c r="G16" i="38" s="1"/>
  <c r="G17" i="38" s="1"/>
  <c r="Q57" i="18"/>
  <c r="O12" i="38" s="1"/>
  <c r="Q58" i="18"/>
  <c r="O16" i="38" s="1"/>
  <c r="O17" i="38" s="1"/>
  <c r="Y57" i="18"/>
  <c r="W12" i="38" s="1"/>
  <c r="Y58" i="18"/>
  <c r="W16" i="38" s="1"/>
  <c r="W17" i="38" s="1"/>
  <c r="AG57" i="18"/>
  <c r="AE12" i="38" s="1"/>
  <c r="AG58" i="18"/>
  <c r="AE16" i="38" s="1"/>
  <c r="AE17" i="38" s="1"/>
  <c r="Z57" i="18"/>
  <c r="Z58" i="18"/>
  <c r="X16" i="38" s="1"/>
  <c r="X17" i="38" s="1"/>
  <c r="O57" i="18"/>
  <c r="M12" i="38" s="1"/>
  <c r="O58" i="18"/>
  <c r="M16" i="38" s="1"/>
  <c r="M17" i="38" s="1"/>
  <c r="W57" i="18"/>
  <c r="U12" i="38" s="1"/>
  <c r="W58" i="18"/>
  <c r="U16" i="38" s="1"/>
  <c r="U17" i="38" s="1"/>
  <c r="AE57" i="18"/>
  <c r="AC12" i="38" s="1"/>
  <c r="AE58" i="18"/>
  <c r="AC16" i="38" s="1"/>
  <c r="AC17" i="38" s="1"/>
  <c r="AM57" i="18"/>
  <c r="AK12" i="38" s="1"/>
  <c r="AM58" i="18"/>
  <c r="AK16" i="38" s="1"/>
  <c r="AK17" i="38" s="1"/>
  <c r="V57" i="18"/>
  <c r="T12" i="38" s="1"/>
  <c r="V58" i="18"/>
  <c r="T16" i="38" s="1"/>
  <c r="T17" i="38" s="1"/>
  <c r="H57" i="18"/>
  <c r="F12" i="38" s="1"/>
  <c r="H58" i="18"/>
  <c r="F16" i="38" s="1"/>
  <c r="F17" i="38" s="1"/>
  <c r="P57" i="18"/>
  <c r="N12" i="38" s="1"/>
  <c r="P58" i="18"/>
  <c r="N16" i="38" s="1"/>
  <c r="N17" i="38" s="1"/>
  <c r="X57" i="18"/>
  <c r="V12" i="38" s="1"/>
  <c r="X58" i="18"/>
  <c r="V16" i="38" s="1"/>
  <c r="V17" i="38" s="1"/>
  <c r="AF57" i="18"/>
  <c r="AD12" i="38" s="1"/>
  <c r="AF58" i="18"/>
  <c r="AD16" i="38" s="1"/>
  <c r="AD17" i="38" s="1"/>
  <c r="AN57" i="18"/>
  <c r="AL12" i="38" s="1"/>
  <c r="AN58" i="18"/>
  <c r="AL16" i="38" s="1"/>
  <c r="AL17" i="38" s="1"/>
  <c r="AD57" i="18"/>
  <c r="AB12" i="38" s="1"/>
  <c r="AD58" i="18"/>
  <c r="AB16" i="38" s="1"/>
  <c r="AB17" i="38" s="1"/>
  <c r="M57" i="18"/>
  <c r="K12" i="38" s="1"/>
  <c r="M58" i="18"/>
  <c r="K16" i="38" s="1"/>
  <c r="K17" i="38" s="1"/>
  <c r="U57" i="18"/>
  <c r="S12" i="38" s="1"/>
  <c r="U58" i="18"/>
  <c r="S16" i="38" s="1"/>
  <c r="S17" i="38" s="1"/>
  <c r="AC57" i="18"/>
  <c r="AA12" i="38" s="1"/>
  <c r="AC58" i="18"/>
  <c r="AA16" i="38" s="1"/>
  <c r="AA17" i="38" s="1"/>
  <c r="AK57" i="18"/>
  <c r="AI12" i="38" s="1"/>
  <c r="AK58" i="18"/>
  <c r="AI16" i="38" s="1"/>
  <c r="AI17" i="38" s="1"/>
  <c r="N57" i="18"/>
  <c r="L12" i="38" s="1"/>
  <c r="N58" i="18"/>
  <c r="L16" i="38" s="1"/>
  <c r="L17" i="38" s="1"/>
  <c r="AL57" i="18"/>
  <c r="AJ12" i="38" s="1"/>
  <c r="AL58" i="18"/>
  <c r="AJ16" i="38" s="1"/>
  <c r="AJ17" i="38" s="1"/>
  <c r="AM26" i="41"/>
  <c r="T24" i="40"/>
  <c r="T40" i="40" s="1"/>
  <c r="K23" i="40"/>
  <c r="K39" i="40" s="1"/>
  <c r="P24" i="40"/>
  <c r="P40" i="40" s="1"/>
  <c r="AF24" i="40"/>
  <c r="AF40" i="40" s="1"/>
  <c r="J23" i="40"/>
  <c r="J39" i="40" s="1"/>
  <c r="Q24" i="40"/>
  <c r="Q40" i="40" s="1"/>
  <c r="AG24" i="40"/>
  <c r="AG40" i="40" s="1"/>
  <c r="H23" i="40"/>
  <c r="H39" i="40" s="1"/>
  <c r="X24" i="40"/>
  <c r="X40" i="40" s="1"/>
  <c r="AK23" i="40"/>
  <c r="AK39" i="40" s="1"/>
  <c r="R24" i="40"/>
  <c r="R40" i="40" s="1"/>
  <c r="AH23" i="40"/>
  <c r="AH39" i="40" s="1"/>
  <c r="AE24" i="40"/>
  <c r="AE40" i="40" s="1"/>
  <c r="L23" i="40"/>
  <c r="L39" i="40" s="1"/>
  <c r="AB23" i="40"/>
  <c r="AB39" i="40" s="1"/>
  <c r="V24" i="40"/>
  <c r="V40" i="40" s="1"/>
  <c r="S24" i="40"/>
  <c r="S40" i="40" s="1"/>
  <c r="AI24" i="40"/>
  <c r="AI40" i="40" s="1"/>
  <c r="AF23" i="40"/>
  <c r="AF39" i="40" s="1"/>
  <c r="M23" i="40"/>
  <c r="M39" i="40" s="1"/>
  <c r="AC23" i="40"/>
  <c r="AC39" i="40" s="1"/>
  <c r="Z24" i="40"/>
  <c r="Z40" i="40" s="1"/>
  <c r="G24" i="40"/>
  <c r="G40" i="40" s="1"/>
  <c r="W23" i="40"/>
  <c r="W39" i="40" s="1"/>
  <c r="AJ23" i="40"/>
  <c r="AJ39" i="40" s="1"/>
  <c r="AA23" i="40"/>
  <c r="AA39" i="40" s="1"/>
  <c r="O24" i="40"/>
  <c r="O40" i="40" s="1"/>
  <c r="I23" i="40"/>
  <c r="I39" i="40" s="1"/>
  <c r="F23" i="40"/>
  <c r="F39" i="40" s="1"/>
  <c r="T23" i="40"/>
  <c r="T39" i="40" s="1"/>
  <c r="Q23" i="40"/>
  <c r="Q39" i="40" s="1"/>
  <c r="N24" i="40"/>
  <c r="N40" i="40" s="1"/>
  <c r="K24" i="40"/>
  <c r="K40" i="40" s="1"/>
  <c r="AA24" i="40"/>
  <c r="AA40" i="40" s="1"/>
  <c r="H24" i="40"/>
  <c r="H40" i="40" s="1"/>
  <c r="X23" i="40"/>
  <c r="X39" i="40" s="1"/>
  <c r="E23" i="40"/>
  <c r="E39" i="40" s="1"/>
  <c r="U24" i="40"/>
  <c r="U40" i="40" s="1"/>
  <c r="AE23" i="40"/>
  <c r="AE39" i="40" s="1"/>
  <c r="L24" i="40"/>
  <c r="L40" i="40" s="1"/>
  <c r="AB24" i="40"/>
  <c r="AB40" i="40" s="1"/>
  <c r="Y24" i="40"/>
  <c r="Y40" i="40" s="1"/>
  <c r="F24" i="40"/>
  <c r="F40" i="40" s="1"/>
  <c r="V23" i="40"/>
  <c r="V39" i="40" s="1"/>
  <c r="P23" i="40"/>
  <c r="P39" i="40" s="1"/>
  <c r="M24" i="40"/>
  <c r="M40" i="40" s="1"/>
  <c r="J24" i="40"/>
  <c r="J40" i="40" s="1"/>
  <c r="Z23" i="40"/>
  <c r="Z39" i="40" s="1"/>
  <c r="G23" i="40"/>
  <c r="G39" i="40" s="1"/>
  <c r="W24" i="40"/>
  <c r="W40" i="40" s="1"/>
  <c r="D24" i="40"/>
  <c r="D40" i="40" s="1"/>
  <c r="AD23" i="40"/>
  <c r="AD39" i="40" s="1"/>
  <c r="R23" i="40"/>
  <c r="R39" i="40" s="1"/>
  <c r="D23" i="40"/>
  <c r="D39" i="40" s="1"/>
  <c r="AJ24" i="40"/>
  <c r="AJ40" i="40" s="1"/>
  <c r="AG23" i="40"/>
  <c r="AG39" i="40" s="1"/>
  <c r="N23" i="40"/>
  <c r="N39" i="40" s="1"/>
  <c r="AD24" i="40"/>
  <c r="AD40" i="40" s="1"/>
  <c r="E24" i="40"/>
  <c r="E40" i="40" s="1"/>
  <c r="U23" i="40"/>
  <c r="U39" i="40" s="1"/>
  <c r="AK24" i="40"/>
  <c r="AK40" i="40" s="1"/>
  <c r="AH24" i="40"/>
  <c r="AH40" i="40" s="1"/>
  <c r="O23" i="40"/>
  <c r="O39" i="40" s="1"/>
  <c r="I24" i="40"/>
  <c r="I40" i="40" s="1"/>
  <c r="Y23" i="40"/>
  <c r="Y39" i="40" s="1"/>
  <c r="S23" i="40"/>
  <c r="S39" i="40" s="1"/>
  <c r="AI23" i="40"/>
  <c r="AI39" i="40" s="1"/>
  <c r="AC24" i="40"/>
  <c r="AC40" i="40" s="1"/>
  <c r="AN13" i="27"/>
  <c r="AL92" i="23" s="1"/>
  <c r="AM13" i="27"/>
  <c r="AK92" i="23" s="1"/>
  <c r="L44" i="18"/>
  <c r="C56" i="18"/>
  <c r="C52" i="18"/>
  <c r="AI45" i="18"/>
  <c r="AG20" i="38" s="1"/>
  <c r="AK45" i="18"/>
  <c r="AI20" i="38" s="1"/>
  <c r="S45" i="18"/>
  <c r="Q20" i="38" s="1"/>
  <c r="P45" i="18"/>
  <c r="N20" i="38" s="1"/>
  <c r="N45" i="18"/>
  <c r="L20" i="38" s="1"/>
  <c r="V45" i="18"/>
  <c r="T20" i="38" s="1"/>
  <c r="L45" i="18"/>
  <c r="J20" i="38" s="1"/>
  <c r="AC45" i="18"/>
  <c r="AA20" i="38" s="1"/>
  <c r="K45" i="18"/>
  <c r="I20" i="38" s="1"/>
  <c r="AA45" i="18"/>
  <c r="Y20" i="38" s="1"/>
  <c r="AM45" i="18"/>
  <c r="AK20" i="38" s="1"/>
  <c r="AF45" i="18"/>
  <c r="AD20" i="38" s="1"/>
  <c r="M45" i="18"/>
  <c r="K20" i="38" s="1"/>
  <c r="Y45" i="18"/>
  <c r="W20" i="38" s="1"/>
  <c r="AD45" i="18"/>
  <c r="AB20" i="38" s="1"/>
  <c r="AL45" i="18"/>
  <c r="AJ20" i="38" s="1"/>
  <c r="AB45" i="18"/>
  <c r="Z20" i="38" s="1"/>
  <c r="I45" i="18"/>
  <c r="G20" i="38" s="1"/>
  <c r="W45" i="18"/>
  <c r="U20" i="38" s="1"/>
  <c r="AE45" i="18"/>
  <c r="AC20" i="38" s="1"/>
  <c r="H45" i="18"/>
  <c r="F20" i="38" s="1"/>
  <c r="X45" i="18"/>
  <c r="V20" i="38" s="1"/>
  <c r="AN45" i="18"/>
  <c r="AL20" i="38" s="1"/>
  <c r="AG45" i="18"/>
  <c r="AE20" i="38" s="1"/>
  <c r="J45" i="18"/>
  <c r="H20" i="38" s="1"/>
  <c r="R45" i="18"/>
  <c r="P20" i="38" s="1"/>
  <c r="Z45" i="18"/>
  <c r="X20" i="38" s="1"/>
  <c r="AH45" i="18"/>
  <c r="AF20" i="38" s="1"/>
  <c r="T45" i="18"/>
  <c r="R20" i="38" s="1"/>
  <c r="AJ45" i="18"/>
  <c r="AH20" i="38" s="1"/>
  <c r="U45" i="18"/>
  <c r="S20" i="38" s="1"/>
  <c r="O45" i="18"/>
  <c r="M20" i="38" s="1"/>
  <c r="Q45" i="18"/>
  <c r="O20" i="38" s="1"/>
  <c r="AL36" i="18"/>
  <c r="AJ11" i="37" s="1"/>
  <c r="AL33" i="18"/>
  <c r="O36" i="18"/>
  <c r="M11" i="37" s="1"/>
  <c r="O33" i="18"/>
  <c r="V36" i="18"/>
  <c r="T11" i="37" s="1"/>
  <c r="V33" i="18"/>
  <c r="AC36" i="18"/>
  <c r="AA11" i="37" s="1"/>
  <c r="AC33" i="18"/>
  <c r="K36" i="18"/>
  <c r="I11" i="37" s="1"/>
  <c r="K33" i="18"/>
  <c r="AA36" i="18"/>
  <c r="Y11" i="37" s="1"/>
  <c r="AA33" i="18"/>
  <c r="AE36" i="18"/>
  <c r="AC11" i="37" s="1"/>
  <c r="AE33" i="18"/>
  <c r="X36" i="18"/>
  <c r="V11" i="37" s="1"/>
  <c r="X33" i="18"/>
  <c r="M36" i="18"/>
  <c r="K11" i="37" s="1"/>
  <c r="M33" i="18"/>
  <c r="AM11" i="37"/>
  <c r="Z36" i="18"/>
  <c r="X11" i="37" s="1"/>
  <c r="Z33" i="18"/>
  <c r="AB36" i="18"/>
  <c r="Z11" i="37" s="1"/>
  <c r="AB33" i="18"/>
  <c r="AJ36" i="18"/>
  <c r="AH11" i="37" s="1"/>
  <c r="AJ33" i="18"/>
  <c r="C32" i="18"/>
  <c r="R36" i="18"/>
  <c r="P11" i="37" s="1"/>
  <c r="R33" i="18"/>
  <c r="AD36" i="18"/>
  <c r="AB11" i="37" s="1"/>
  <c r="AD33" i="18"/>
  <c r="AH36" i="18"/>
  <c r="AF11" i="37" s="1"/>
  <c r="AH33" i="18"/>
  <c r="T36" i="18"/>
  <c r="R11" i="37" s="1"/>
  <c r="T33" i="18"/>
  <c r="I36" i="18"/>
  <c r="G11" i="37" s="1"/>
  <c r="I33" i="18"/>
  <c r="U36" i="18"/>
  <c r="S11" i="37" s="1"/>
  <c r="U33" i="18"/>
  <c r="P36" i="18"/>
  <c r="N11" i="37" s="1"/>
  <c r="P33" i="18"/>
  <c r="J36" i="18"/>
  <c r="H11" i="37" s="1"/>
  <c r="J33" i="18"/>
  <c r="S36" i="18"/>
  <c r="Q11" i="37" s="1"/>
  <c r="S33" i="18"/>
  <c r="Q36" i="18"/>
  <c r="O11" i="37" s="1"/>
  <c r="Q33" i="18"/>
  <c r="N36" i="18"/>
  <c r="L11" i="37" s="1"/>
  <c r="N33" i="18"/>
  <c r="AI36" i="18"/>
  <c r="AG11" i="37" s="1"/>
  <c r="AI33" i="18"/>
  <c r="L33" i="18"/>
  <c r="AK36" i="18"/>
  <c r="AI11" i="37" s="1"/>
  <c r="AK33" i="18"/>
  <c r="G33" i="18"/>
  <c r="C31" i="18"/>
  <c r="W36" i="18"/>
  <c r="U11" i="37" s="1"/>
  <c r="W33" i="18"/>
  <c r="AM36" i="18"/>
  <c r="AK11" i="37" s="1"/>
  <c r="AM33" i="18"/>
  <c r="H36" i="18"/>
  <c r="F11" i="37" s="1"/>
  <c r="H33" i="18"/>
  <c r="AF36" i="18"/>
  <c r="AD11" i="37" s="1"/>
  <c r="AF33" i="18"/>
  <c r="AN36" i="18"/>
  <c r="AL11" i="37" s="1"/>
  <c r="AN33" i="18"/>
  <c r="Y36" i="18"/>
  <c r="W11" i="37" s="1"/>
  <c r="Y33" i="18"/>
  <c r="AG36" i="18"/>
  <c r="AE11" i="37" s="1"/>
  <c r="AG33" i="18"/>
  <c r="C9" i="18"/>
  <c r="AN11" i="18"/>
  <c r="AN15" i="18" s="1"/>
  <c r="AN19" i="18" s="1"/>
  <c r="AN10" i="18"/>
  <c r="AN14" i="18" s="1"/>
  <c r="AN18" i="18" s="1"/>
  <c r="AN13" i="18"/>
  <c r="G40" i="18" l="1"/>
  <c r="G41" i="18" s="1"/>
  <c r="E10" i="37" s="1"/>
  <c r="E13" i="37" s="1"/>
  <c r="E11" i="37"/>
  <c r="E14" i="37" s="1"/>
  <c r="AK105" i="23"/>
  <c r="AL105" i="23"/>
  <c r="AM105" i="23"/>
  <c r="D17" i="38"/>
  <c r="X41" i="40"/>
  <c r="X39" i="23" s="1"/>
  <c r="T41" i="40"/>
  <c r="T39" i="23" s="1"/>
  <c r="T77" i="23" s="1"/>
  <c r="AO20" i="18"/>
  <c r="AM12" i="33"/>
  <c r="AM17" i="33" s="1"/>
  <c r="AO25" i="18"/>
  <c r="G44" i="18"/>
  <c r="AM91" i="23"/>
  <c r="AM58" i="23"/>
  <c r="X12" i="38"/>
  <c r="X13" i="38" s="1"/>
  <c r="AP24" i="18"/>
  <c r="AN14" i="32" s="1"/>
  <c r="AN19" i="32" s="1"/>
  <c r="AN24" i="32" s="1"/>
  <c r="AN26" i="41"/>
  <c r="AN12" i="33"/>
  <c r="AN17" i="33" s="1"/>
  <c r="AN11" i="37"/>
  <c r="AN14" i="37" s="1"/>
  <c r="AP44" i="18"/>
  <c r="AP46" i="18" s="1"/>
  <c r="AP38" i="18"/>
  <c r="AP40" i="18" s="1"/>
  <c r="AP41" i="18" s="1"/>
  <c r="AN10" i="37" s="1"/>
  <c r="AN13" i="37" s="1"/>
  <c r="AL41" i="40"/>
  <c r="AL39" i="23" s="1"/>
  <c r="AL77" i="23" s="1"/>
  <c r="AN25" i="41"/>
  <c r="AN11" i="33"/>
  <c r="AP23" i="18"/>
  <c r="AP20" i="18"/>
  <c r="X58" i="23"/>
  <c r="T91" i="23"/>
  <c r="T58" i="23"/>
  <c r="Z13" i="38"/>
  <c r="S41" i="40"/>
  <c r="S39" i="23" s="1"/>
  <c r="S77" i="23" s="1"/>
  <c r="Y41" i="40"/>
  <c r="Y39" i="23" s="1"/>
  <c r="Y77" i="23" s="1"/>
  <c r="O41" i="40"/>
  <c r="O39" i="23" s="1"/>
  <c r="O77" i="23" s="1"/>
  <c r="R41" i="40"/>
  <c r="R39" i="23" s="1"/>
  <c r="R77" i="23" s="1"/>
  <c r="G41" i="40"/>
  <c r="G39" i="23" s="1"/>
  <c r="G77" i="23" s="1"/>
  <c r="J41" i="40"/>
  <c r="J39" i="23" s="1"/>
  <c r="J77" i="23" s="1"/>
  <c r="P41" i="40"/>
  <c r="P39" i="23" s="1"/>
  <c r="P77" i="23" s="1"/>
  <c r="AE41" i="40"/>
  <c r="AE39" i="23" s="1"/>
  <c r="AE77" i="23" s="1"/>
  <c r="E107" i="24"/>
  <c r="F107" i="24"/>
  <c r="F106" i="24"/>
  <c r="E106" i="24"/>
  <c r="C58" i="18"/>
  <c r="J13" i="38"/>
  <c r="AJ13" i="38"/>
  <c r="AC13" i="38"/>
  <c r="Y13" i="38"/>
  <c r="K13" i="38"/>
  <c r="O13" i="38"/>
  <c r="M13" i="38"/>
  <c r="H13" i="38"/>
  <c r="I13" i="38"/>
  <c r="N13" i="38"/>
  <c r="AL13" i="38"/>
  <c r="S13" i="38"/>
  <c r="U13" i="38"/>
  <c r="W13" i="38"/>
  <c r="L13" i="38"/>
  <c r="AF13" i="38"/>
  <c r="AL25" i="41"/>
  <c r="AL11" i="33"/>
  <c r="AL16" i="33" s="1"/>
  <c r="AM25" i="41"/>
  <c r="AM11" i="33"/>
  <c r="AM16" i="33" s="1"/>
  <c r="AM14" i="32"/>
  <c r="AM19" i="32" s="1"/>
  <c r="AM24" i="32" s="1"/>
  <c r="AI13" i="38"/>
  <c r="AD13" i="38"/>
  <c r="R13" i="38"/>
  <c r="F13" i="38"/>
  <c r="AM13" i="38"/>
  <c r="G13" i="38"/>
  <c r="AB13" i="38"/>
  <c r="P13" i="38"/>
  <c r="AH41" i="40"/>
  <c r="AH39" i="23" s="1"/>
  <c r="AH77" i="23" s="1"/>
  <c r="AL26" i="41"/>
  <c r="AL12" i="33"/>
  <c r="AL17" i="33" s="1"/>
  <c r="AA13" i="38"/>
  <c r="V13" i="38"/>
  <c r="AK13" i="38"/>
  <c r="AG13" i="38"/>
  <c r="AE13" i="38"/>
  <c r="AH13" i="38"/>
  <c r="T13" i="38"/>
  <c r="Q13" i="38"/>
  <c r="AF41" i="40"/>
  <c r="AF39" i="23" s="1"/>
  <c r="AF77" i="23" s="1"/>
  <c r="D41" i="40"/>
  <c r="D39" i="23" s="1"/>
  <c r="D77" i="23" s="1"/>
  <c r="W41" i="40"/>
  <c r="W39" i="23" s="1"/>
  <c r="W77" i="23" s="1"/>
  <c r="L41" i="40"/>
  <c r="L39" i="23" s="1"/>
  <c r="L77" i="23" s="1"/>
  <c r="AK41" i="40"/>
  <c r="AK39" i="23" s="1"/>
  <c r="AK77" i="23" s="1"/>
  <c r="H41" i="40"/>
  <c r="H39" i="23" s="1"/>
  <c r="H77" i="23" s="1"/>
  <c r="K41" i="40"/>
  <c r="K39" i="23" s="1"/>
  <c r="K77" i="23" s="1"/>
  <c r="V41" i="40"/>
  <c r="V39" i="23" s="1"/>
  <c r="V77" i="23" s="1"/>
  <c r="J14" i="37"/>
  <c r="AI41" i="40"/>
  <c r="AI39" i="23" s="1"/>
  <c r="AI77" i="23" s="1"/>
  <c r="V21" i="38"/>
  <c r="J21" i="38"/>
  <c r="AD41" i="40"/>
  <c r="AD39" i="23" s="1"/>
  <c r="AD77" i="23" s="1"/>
  <c r="E41" i="40"/>
  <c r="E39" i="23" s="1"/>
  <c r="E77" i="23" s="1"/>
  <c r="Q41" i="40"/>
  <c r="Q39" i="23" s="1"/>
  <c r="Q77" i="23" s="1"/>
  <c r="F41" i="40"/>
  <c r="F39" i="23" s="1"/>
  <c r="F77" i="23" s="1"/>
  <c r="AJ41" i="40"/>
  <c r="AJ39" i="23" s="1"/>
  <c r="AJ77" i="23" s="1"/>
  <c r="AC41" i="40"/>
  <c r="AC39" i="23" s="1"/>
  <c r="AC77" i="23" s="1"/>
  <c r="AB41" i="40"/>
  <c r="AB39" i="23" s="1"/>
  <c r="AB77" i="23" s="1"/>
  <c r="AG41" i="40"/>
  <c r="AG39" i="23" s="1"/>
  <c r="AG77" i="23" s="1"/>
  <c r="AJ21" i="38"/>
  <c r="Z41" i="40"/>
  <c r="Z39" i="23" s="1"/>
  <c r="Z77" i="23" s="1"/>
  <c r="M41" i="40"/>
  <c r="M39" i="23" s="1"/>
  <c r="M77" i="23" s="1"/>
  <c r="U41" i="40"/>
  <c r="U39" i="23" s="1"/>
  <c r="U77" i="23" s="1"/>
  <c r="N41" i="40"/>
  <c r="N39" i="23" s="1"/>
  <c r="N77" i="23" s="1"/>
  <c r="I41" i="40"/>
  <c r="I39" i="23" s="1"/>
  <c r="I77" i="23" s="1"/>
  <c r="AA41" i="40"/>
  <c r="AA39" i="23" s="1"/>
  <c r="AA77" i="23" s="1"/>
  <c r="Q44" i="18"/>
  <c r="Q46" i="18" s="1"/>
  <c r="J44" i="18"/>
  <c r="J46" i="18" s="1"/>
  <c r="U44" i="18"/>
  <c r="U46" i="18" s="1"/>
  <c r="T44" i="18"/>
  <c r="T46" i="18" s="1"/>
  <c r="AD44" i="18"/>
  <c r="AD46" i="18" s="1"/>
  <c r="AG44" i="18"/>
  <c r="AG46" i="18" s="1"/>
  <c r="AN44" i="18"/>
  <c r="AN46" i="18" s="1"/>
  <c r="H44" i="18"/>
  <c r="H46" i="18" s="1"/>
  <c r="W44" i="18"/>
  <c r="W46" i="18" s="1"/>
  <c r="AK44" i="18"/>
  <c r="AK46" i="18" s="1"/>
  <c r="N44" i="18"/>
  <c r="N46" i="18" s="1"/>
  <c r="S44" i="18"/>
  <c r="S46" i="18" s="1"/>
  <c r="P44" i="18"/>
  <c r="P46" i="18" s="1"/>
  <c r="I44" i="18"/>
  <c r="I46" i="18" s="1"/>
  <c r="AH44" i="18"/>
  <c r="AH46" i="18" s="1"/>
  <c r="R44" i="18"/>
  <c r="R46" i="18" s="1"/>
  <c r="AJ44" i="18"/>
  <c r="AJ46" i="18" s="1"/>
  <c r="Z44" i="18"/>
  <c r="Z46" i="18" s="1"/>
  <c r="M44" i="18"/>
  <c r="M46" i="18" s="1"/>
  <c r="AE44" i="18"/>
  <c r="AE46" i="18" s="1"/>
  <c r="K44" i="18"/>
  <c r="K46" i="18" s="1"/>
  <c r="V44" i="18"/>
  <c r="V46" i="18" s="1"/>
  <c r="AL44" i="18"/>
  <c r="AL46" i="18" s="1"/>
  <c r="Y44" i="18"/>
  <c r="Y46" i="18" s="1"/>
  <c r="AF44" i="18"/>
  <c r="AF46" i="18" s="1"/>
  <c r="AM44" i="18"/>
  <c r="AM46" i="18" s="1"/>
  <c r="AI44" i="18"/>
  <c r="AI46" i="18" s="1"/>
  <c r="AB44" i="18"/>
  <c r="AB46" i="18" s="1"/>
  <c r="X44" i="18"/>
  <c r="X46" i="18" s="1"/>
  <c r="AA44" i="18"/>
  <c r="AA46" i="18" s="1"/>
  <c r="AC44" i="18"/>
  <c r="AC46" i="18" s="1"/>
  <c r="O44" i="18"/>
  <c r="O46" i="18" s="1"/>
  <c r="C57" i="18"/>
  <c r="C53" i="18"/>
  <c r="C45" i="18"/>
  <c r="C13" i="18"/>
  <c r="AG38" i="18"/>
  <c r="AG40" i="18" s="1"/>
  <c r="AN38" i="18"/>
  <c r="AN40" i="18" s="1"/>
  <c r="H38" i="18"/>
  <c r="H40" i="18" s="1"/>
  <c r="W38" i="18"/>
  <c r="W40" i="18" s="1"/>
  <c r="G38" i="18"/>
  <c r="C36" i="18"/>
  <c r="AI38" i="18"/>
  <c r="AI40" i="18" s="1"/>
  <c r="N38" i="18"/>
  <c r="N40" i="18" s="1"/>
  <c r="S38" i="18"/>
  <c r="S40" i="18" s="1"/>
  <c r="J38" i="18"/>
  <c r="J40" i="18" s="1"/>
  <c r="AJ38" i="18"/>
  <c r="AJ40" i="18" s="1"/>
  <c r="Z38" i="18"/>
  <c r="Z40" i="18" s="1"/>
  <c r="AA38" i="18"/>
  <c r="AA40" i="18" s="1"/>
  <c r="AC38" i="18"/>
  <c r="AC40" i="18" s="1"/>
  <c r="AM13" i="32"/>
  <c r="P38" i="18"/>
  <c r="P40" i="18" s="1"/>
  <c r="I38" i="18"/>
  <c r="I40" i="18" s="1"/>
  <c r="AH38" i="18"/>
  <c r="AH40" i="18" s="1"/>
  <c r="R38" i="18"/>
  <c r="R40" i="18" s="1"/>
  <c r="M38" i="18"/>
  <c r="Y38" i="18"/>
  <c r="Y40" i="18" s="1"/>
  <c r="AF38" i="18"/>
  <c r="AF40" i="18" s="1"/>
  <c r="AM38" i="18"/>
  <c r="AM40" i="18" s="1"/>
  <c r="AK38" i="18"/>
  <c r="AK40" i="18" s="1"/>
  <c r="L46" i="18"/>
  <c r="L38" i="18"/>
  <c r="L40" i="18" s="1"/>
  <c r="Q38" i="18"/>
  <c r="Q40" i="18" s="1"/>
  <c r="C37" i="18"/>
  <c r="AB38" i="18"/>
  <c r="AM10" i="37"/>
  <c r="AE38" i="18"/>
  <c r="AE40" i="18" s="1"/>
  <c r="K38" i="18"/>
  <c r="AL38" i="18"/>
  <c r="U38" i="18"/>
  <c r="U40" i="18" s="1"/>
  <c r="T38" i="18"/>
  <c r="T40" i="18" s="1"/>
  <c r="AD38" i="18"/>
  <c r="AD40" i="18" s="1"/>
  <c r="X38" i="18"/>
  <c r="X40" i="18" s="1"/>
  <c r="V38" i="18"/>
  <c r="V40" i="18" s="1"/>
  <c r="O38" i="18"/>
  <c r="O40" i="18" s="1"/>
  <c r="C33" i="18"/>
  <c r="AN24" i="18"/>
  <c r="AN23" i="18"/>
  <c r="AL13" i="32" s="1"/>
  <c r="AN20" i="18"/>
  <c r="B17" i="29"/>
  <c r="B14" i="29"/>
  <c r="M40" i="18" l="1"/>
  <c r="D105" i="24"/>
  <c r="AM104" i="23"/>
  <c r="T104" i="23"/>
  <c r="X91" i="23"/>
  <c r="X77" i="23"/>
  <c r="C77" i="23" s="1"/>
  <c r="E14" i="23" s="1"/>
  <c r="AN16" i="33"/>
  <c r="AN18" i="33" s="1"/>
  <c r="AN13" i="33"/>
  <c r="C39" i="23"/>
  <c r="AN34" i="41"/>
  <c r="AN50" i="41" s="1"/>
  <c r="AN32" i="41"/>
  <c r="AN48" i="41" s="1"/>
  <c r="AN27" i="41"/>
  <c r="AN33" i="41"/>
  <c r="AN31" i="41"/>
  <c r="AN47" i="41" s="1"/>
  <c r="AN30" i="41"/>
  <c r="AP25" i="18"/>
  <c r="AN13" i="32"/>
  <c r="AN42" i="41"/>
  <c r="AN58" i="41" s="1"/>
  <c r="AN38" i="41"/>
  <c r="AN40" i="41"/>
  <c r="AN56" i="41" s="1"/>
  <c r="AN41" i="41"/>
  <c r="AN39" i="41"/>
  <c r="AN55" i="41" s="1"/>
  <c r="D91" i="23"/>
  <c r="D58" i="23"/>
  <c r="AL91" i="23"/>
  <c r="AL58" i="23"/>
  <c r="AA91" i="23"/>
  <c r="AA58" i="23"/>
  <c r="AG91" i="23"/>
  <c r="AG58" i="23"/>
  <c r="AK91" i="23"/>
  <c r="AK58" i="23"/>
  <c r="AF91" i="23"/>
  <c r="AF58" i="23"/>
  <c r="AE91" i="23"/>
  <c r="AE58" i="23"/>
  <c r="R91" i="23"/>
  <c r="R58" i="23"/>
  <c r="I91" i="23"/>
  <c r="I58" i="23"/>
  <c r="Z91" i="23"/>
  <c r="Z58" i="23"/>
  <c r="AB91" i="23"/>
  <c r="AB58" i="23"/>
  <c r="Q91" i="23"/>
  <c r="Q58" i="23"/>
  <c r="V91" i="23"/>
  <c r="V58" i="23"/>
  <c r="L91" i="23"/>
  <c r="L58" i="23"/>
  <c r="P91" i="23"/>
  <c r="P58" i="23"/>
  <c r="O91" i="23"/>
  <c r="O58" i="23"/>
  <c r="M91" i="23"/>
  <c r="M58" i="23"/>
  <c r="N91" i="23"/>
  <c r="N58" i="23"/>
  <c r="AC91" i="23"/>
  <c r="AC58" i="23"/>
  <c r="E91" i="23"/>
  <c r="E58" i="23"/>
  <c r="K91" i="23"/>
  <c r="K58" i="23"/>
  <c r="W91" i="23"/>
  <c r="W58" i="23"/>
  <c r="J91" i="23"/>
  <c r="J58" i="23"/>
  <c r="Y91" i="23"/>
  <c r="Y58" i="23"/>
  <c r="F91" i="23"/>
  <c r="F58" i="23"/>
  <c r="U91" i="23"/>
  <c r="U58" i="23"/>
  <c r="AJ91" i="23"/>
  <c r="AJ58" i="23"/>
  <c r="AD91" i="23"/>
  <c r="AD58" i="23"/>
  <c r="AI91" i="23"/>
  <c r="AI58" i="23"/>
  <c r="H91" i="23"/>
  <c r="H58" i="23"/>
  <c r="AH91" i="23"/>
  <c r="AH58" i="23"/>
  <c r="G91" i="23"/>
  <c r="G58" i="23"/>
  <c r="S91" i="23"/>
  <c r="S58" i="23"/>
  <c r="E84" i="45"/>
  <c r="F79" i="45"/>
  <c r="F82" i="45"/>
  <c r="E83" i="45"/>
  <c r="F83" i="45"/>
  <c r="F84" i="45"/>
  <c r="F78" i="45"/>
  <c r="E80" i="45"/>
  <c r="E79" i="45"/>
  <c r="F81" i="45"/>
  <c r="F80" i="45"/>
  <c r="E78" i="45"/>
  <c r="E81" i="45"/>
  <c r="E82" i="45"/>
  <c r="K40" i="18"/>
  <c r="K41" i="18" s="1"/>
  <c r="I10" i="37" s="1"/>
  <c r="AL40" i="18"/>
  <c r="AL41" i="18" s="1"/>
  <c r="AJ10" i="37" s="1"/>
  <c r="F105" i="24"/>
  <c r="AB40" i="18"/>
  <c r="AB41" i="18" s="1"/>
  <c r="Z10" i="37" s="1"/>
  <c r="E105" i="24"/>
  <c r="AL14" i="32"/>
  <c r="AL19" i="32" s="1"/>
  <c r="AL24" i="32" s="1"/>
  <c r="AB21" i="38"/>
  <c r="T21" i="38"/>
  <c r="L21" i="38"/>
  <c r="G21" i="38"/>
  <c r="I21" i="38"/>
  <c r="Y21" i="38"/>
  <c r="AF21" i="38"/>
  <c r="AA21" i="38"/>
  <c r="H21" i="38"/>
  <c r="K21" i="38"/>
  <c r="W21" i="38"/>
  <c r="S21" i="38"/>
  <c r="Z21" i="38"/>
  <c r="M21" i="38"/>
  <c r="AA14" i="37"/>
  <c r="V14" i="37"/>
  <c r="Z14" i="37"/>
  <c r="AD21" i="38"/>
  <c r="R21" i="38"/>
  <c r="AI21" i="38"/>
  <c r="U21" i="38"/>
  <c r="AC21" i="38"/>
  <c r="N21" i="38"/>
  <c r="F21" i="38"/>
  <c r="AD14" i="37"/>
  <c r="AJ14" i="37"/>
  <c r="I14" i="37"/>
  <c r="K14" i="37"/>
  <c r="AH14" i="37"/>
  <c r="AF14" i="37"/>
  <c r="N14" i="37"/>
  <c r="L14" i="37"/>
  <c r="U14" i="37"/>
  <c r="AL14" i="37"/>
  <c r="AB14" i="37"/>
  <c r="S14" i="37"/>
  <c r="O14" i="37"/>
  <c r="Q21" i="38"/>
  <c r="AL21" i="38"/>
  <c r="AK21" i="38"/>
  <c r="AE21" i="38"/>
  <c r="M14" i="37"/>
  <c r="Y14" i="37"/>
  <c r="AM14" i="37"/>
  <c r="AG14" i="37"/>
  <c r="AG21" i="38"/>
  <c r="O21" i="38"/>
  <c r="P21" i="38"/>
  <c r="AH21" i="38"/>
  <c r="X21" i="38"/>
  <c r="AM21" i="38"/>
  <c r="AK14" i="37"/>
  <c r="W14" i="37"/>
  <c r="T14" i="37"/>
  <c r="AC14" i="37"/>
  <c r="X14" i="37"/>
  <c r="P14" i="37"/>
  <c r="G14" i="37"/>
  <c r="Q14" i="37"/>
  <c r="AI14" i="37"/>
  <c r="F14" i="37"/>
  <c r="AE14" i="37"/>
  <c r="R14" i="37"/>
  <c r="H14" i="37"/>
  <c r="AM13" i="33"/>
  <c r="AL30" i="41"/>
  <c r="AL31" i="41"/>
  <c r="AL32" i="41"/>
  <c r="AL27" i="41"/>
  <c r="AL33" i="41"/>
  <c r="AL34" i="41"/>
  <c r="AM30" i="41"/>
  <c r="AM31" i="41"/>
  <c r="AM32" i="41"/>
  <c r="AM33" i="41"/>
  <c r="AM27" i="41"/>
  <c r="AM34" i="41"/>
  <c r="AK41" i="18"/>
  <c r="AI10" i="37" s="1"/>
  <c r="M41" i="18"/>
  <c r="K10" i="37" s="1"/>
  <c r="AH41" i="18"/>
  <c r="AF10" i="37" s="1"/>
  <c r="AA41" i="18"/>
  <c r="Y10" i="37" s="1"/>
  <c r="AJ41" i="18"/>
  <c r="AH10" i="37" s="1"/>
  <c r="S41" i="18"/>
  <c r="Q10" i="37" s="1"/>
  <c r="AI41" i="18"/>
  <c r="AG10" i="37" s="1"/>
  <c r="W41" i="18"/>
  <c r="U10" i="37" s="1"/>
  <c r="AN41" i="18"/>
  <c r="AL10" i="37" s="1"/>
  <c r="O41" i="18"/>
  <c r="M10" i="37" s="1"/>
  <c r="X41" i="18"/>
  <c r="V10" i="37" s="1"/>
  <c r="T41" i="18"/>
  <c r="R10" i="37" s="1"/>
  <c r="AE41" i="18"/>
  <c r="AC10" i="37" s="1"/>
  <c r="L41" i="18"/>
  <c r="J10" i="37" s="1"/>
  <c r="AM41" i="18"/>
  <c r="AK10" i="37" s="1"/>
  <c r="Y41" i="18"/>
  <c r="W10" i="37" s="1"/>
  <c r="R41" i="18"/>
  <c r="P10" i="37" s="1"/>
  <c r="I41" i="18"/>
  <c r="G10" i="37" s="1"/>
  <c r="V41" i="18"/>
  <c r="T10" i="37" s="1"/>
  <c r="AD41" i="18"/>
  <c r="AB10" i="37" s="1"/>
  <c r="U41" i="18"/>
  <c r="S10" i="37" s="1"/>
  <c r="Q41" i="18"/>
  <c r="O10" i="37" s="1"/>
  <c r="AF41" i="18"/>
  <c r="AD10" i="37" s="1"/>
  <c r="P41" i="18"/>
  <c r="N10" i="37" s="1"/>
  <c r="AC41" i="18"/>
  <c r="AA10" i="37" s="1"/>
  <c r="Z41" i="18"/>
  <c r="X10" i="37" s="1"/>
  <c r="J41" i="18"/>
  <c r="H10" i="37" s="1"/>
  <c r="N41" i="18"/>
  <c r="L10" i="37" s="1"/>
  <c r="H41" i="18"/>
  <c r="F10" i="37" s="1"/>
  <c r="AG41" i="18"/>
  <c r="AE10" i="37" s="1"/>
  <c r="E21" i="38"/>
  <c r="G46" i="18"/>
  <c r="C44" i="18"/>
  <c r="C38" i="18"/>
  <c r="AN25" i="18"/>
  <c r="AM15" i="32"/>
  <c r="AM18" i="32"/>
  <c r="AM18" i="33"/>
  <c r="AL13" i="33"/>
  <c r="D14" i="37" l="1"/>
  <c r="S104" i="23"/>
  <c r="AH104" i="23"/>
  <c r="AI104" i="23"/>
  <c r="AJ104" i="23"/>
  <c r="F104" i="23"/>
  <c r="J104" i="23"/>
  <c r="K104" i="23"/>
  <c r="AC104" i="23"/>
  <c r="M104" i="23"/>
  <c r="P104" i="23"/>
  <c r="V104" i="23"/>
  <c r="AB104" i="23"/>
  <c r="I104" i="23"/>
  <c r="AE104" i="23"/>
  <c r="AK104" i="23"/>
  <c r="AA104" i="23"/>
  <c r="D119" i="23"/>
  <c r="G104" i="23"/>
  <c r="H104" i="23"/>
  <c r="AD104" i="23"/>
  <c r="U104" i="23"/>
  <c r="Y104" i="23"/>
  <c r="W104" i="23"/>
  <c r="E104" i="23"/>
  <c r="N104" i="23"/>
  <c r="O104" i="23"/>
  <c r="L104" i="23"/>
  <c r="Q104" i="23"/>
  <c r="Z104" i="23"/>
  <c r="R104" i="23"/>
  <c r="AF104" i="23"/>
  <c r="AG104" i="23"/>
  <c r="AL104" i="23"/>
  <c r="X104" i="23"/>
  <c r="D21" i="38"/>
  <c r="H82" i="45"/>
  <c r="K82" i="45" s="1"/>
  <c r="F70" i="45"/>
  <c r="C39" i="45"/>
  <c r="E70" i="45" s="1"/>
  <c r="AN18" i="32"/>
  <c r="AN15" i="32"/>
  <c r="AN43" i="41"/>
  <c r="AN35" i="41"/>
  <c r="C58" i="23"/>
  <c r="D14" i="23" s="1"/>
  <c r="C91" i="23"/>
  <c r="D104" i="23"/>
  <c r="D93" i="23"/>
  <c r="E39" i="45"/>
  <c r="E68" i="45" s="1"/>
  <c r="G39" i="45"/>
  <c r="E66" i="45" s="1"/>
  <c r="G83" i="45"/>
  <c r="J83" i="45" s="1"/>
  <c r="I22" i="45"/>
  <c r="G80" i="45"/>
  <c r="J80" i="45" s="1"/>
  <c r="G22" i="45"/>
  <c r="F66" i="45" s="1"/>
  <c r="G82" i="45"/>
  <c r="J82" i="45" s="1"/>
  <c r="H84" i="45"/>
  <c r="K84" i="45" s="1"/>
  <c r="F39" i="45"/>
  <c r="E67" i="45" s="1"/>
  <c r="G68" i="45" s="1"/>
  <c r="J68" i="45" s="1"/>
  <c r="D39" i="45"/>
  <c r="E69" i="45" s="1"/>
  <c r="D22" i="45"/>
  <c r="F69" i="45" s="1"/>
  <c r="I39" i="45"/>
  <c r="H39" i="45"/>
  <c r="E65" i="45" s="1"/>
  <c r="H22" i="45"/>
  <c r="F65" i="45" s="1"/>
  <c r="G81" i="45"/>
  <c r="J81" i="45" s="1"/>
  <c r="G84" i="45"/>
  <c r="J84" i="45" s="1"/>
  <c r="H81" i="45"/>
  <c r="K81" i="45" s="1"/>
  <c r="H83" i="45"/>
  <c r="K83" i="45" s="1"/>
  <c r="E22" i="45"/>
  <c r="F68" i="45" s="1"/>
  <c r="F22" i="45"/>
  <c r="F67" i="45" s="1"/>
  <c r="H80" i="45"/>
  <c r="K80" i="45" s="1"/>
  <c r="G78" i="45"/>
  <c r="J78" i="45" s="1"/>
  <c r="G79" i="45"/>
  <c r="J79" i="45" s="1"/>
  <c r="E77" i="45"/>
  <c r="H78" i="45"/>
  <c r="K78" i="45" s="1"/>
  <c r="H79" i="45"/>
  <c r="K79" i="45" s="1"/>
  <c r="F77" i="45"/>
  <c r="AM13" i="37"/>
  <c r="AM48" i="41"/>
  <c r="AL47" i="41"/>
  <c r="AM47" i="41"/>
  <c r="AL48" i="41"/>
  <c r="AL35" i="41"/>
  <c r="AM35" i="41"/>
  <c r="C46" i="18"/>
  <c r="C40" i="18"/>
  <c r="C41" i="18"/>
  <c r="AL18" i="33"/>
  <c r="AM23" i="32"/>
  <c r="AM20" i="32"/>
  <c r="AL15" i="32"/>
  <c r="AL18" i="32"/>
  <c r="C117" i="23" l="1"/>
  <c r="H14" i="23" s="1"/>
  <c r="D123" i="23"/>
  <c r="E64" i="45"/>
  <c r="E63" i="45" s="1"/>
  <c r="F64" i="45"/>
  <c r="F63" i="45" s="1"/>
  <c r="H70" i="45"/>
  <c r="K70" i="45" s="1"/>
  <c r="AN23" i="32"/>
  <c r="AN25" i="32" s="1"/>
  <c r="AN20" i="32"/>
  <c r="D106" i="23"/>
  <c r="C104" i="23"/>
  <c r="D97" i="23"/>
  <c r="G70" i="45"/>
  <c r="J70" i="45" s="1"/>
  <c r="H66" i="45"/>
  <c r="K66" i="45" s="1"/>
  <c r="H69" i="45"/>
  <c r="K69" i="45" s="1"/>
  <c r="G69" i="45"/>
  <c r="J69" i="45" s="1"/>
  <c r="G66" i="45"/>
  <c r="J66" i="45" s="1"/>
  <c r="H68" i="45"/>
  <c r="K68" i="45" s="1"/>
  <c r="J85" i="45"/>
  <c r="G67" i="45"/>
  <c r="J67" i="45" s="1"/>
  <c r="C14" i="23"/>
  <c r="H67" i="45"/>
  <c r="K67" i="45" s="1"/>
  <c r="K85" i="45"/>
  <c r="J13" i="37"/>
  <c r="F13" i="37"/>
  <c r="S13" i="37"/>
  <c r="W13" i="37"/>
  <c r="AE13" i="37"/>
  <c r="AG13" i="37"/>
  <c r="L13" i="37"/>
  <c r="AL13" i="37"/>
  <c r="O13" i="37"/>
  <c r="Z13" i="37"/>
  <c r="M13" i="37"/>
  <c r="P13" i="37"/>
  <c r="N13" i="37"/>
  <c r="AI13" i="37"/>
  <c r="I13" i="37"/>
  <c r="Q13" i="37"/>
  <c r="AC13" i="37"/>
  <c r="AF13" i="37"/>
  <c r="AD13" i="37"/>
  <c r="U13" i="37"/>
  <c r="AK13" i="37"/>
  <c r="V13" i="37"/>
  <c r="G13" i="37"/>
  <c r="AA13" i="37"/>
  <c r="K13" i="37"/>
  <c r="AH13" i="37"/>
  <c r="AJ13" i="37"/>
  <c r="AB13" i="37"/>
  <c r="H13" i="37"/>
  <c r="Y13" i="37"/>
  <c r="R13" i="37"/>
  <c r="T13" i="37"/>
  <c r="X13" i="37"/>
  <c r="AM25" i="32"/>
  <c r="AL23" i="32"/>
  <c r="AL20" i="32"/>
  <c r="D13" i="37" l="1"/>
  <c r="H65" i="45"/>
  <c r="K65" i="45" s="1"/>
  <c r="D124" i="23"/>
  <c r="H64" i="45"/>
  <c r="K64" i="45" s="1"/>
  <c r="G64" i="45"/>
  <c r="J64" i="45" s="1"/>
  <c r="G65" i="45"/>
  <c r="J65" i="45" s="1"/>
  <c r="D98" i="23"/>
  <c r="D110" i="23"/>
  <c r="C5" i="45"/>
  <c r="J86" i="45"/>
  <c r="AL25" i="32"/>
  <c r="K71" i="45" l="1"/>
  <c r="J71" i="45"/>
  <c r="C38" i="45"/>
  <c r="C21" i="45"/>
  <c r="D111" i="23"/>
  <c r="H38" i="45"/>
  <c r="E51" i="45" s="1"/>
  <c r="G38" i="45"/>
  <c r="E52" i="45" s="1"/>
  <c r="H21" i="45"/>
  <c r="D21" i="45"/>
  <c r="I38" i="45"/>
  <c r="E50" i="45" s="1"/>
  <c r="G51" i="45" s="1"/>
  <c r="I21" i="45"/>
  <c r="F50" i="45" s="1"/>
  <c r="D38" i="45"/>
  <c r="F21" i="45"/>
  <c r="F38" i="45"/>
  <c r="E38" i="45"/>
  <c r="E21" i="45"/>
  <c r="G21" i="45"/>
  <c r="J72" i="45" l="1"/>
  <c r="G52" i="45"/>
  <c r="E54" i="45"/>
  <c r="E42" i="45"/>
  <c r="I25" i="45"/>
  <c r="E56" i="45"/>
  <c r="C42" i="45"/>
  <c r="E53" i="45"/>
  <c r="F42" i="45"/>
  <c r="G42" i="45"/>
  <c r="F54" i="45"/>
  <c r="E25" i="45"/>
  <c r="F53" i="45"/>
  <c r="F25" i="45"/>
  <c r="I42" i="45"/>
  <c r="H42" i="45"/>
  <c r="F51" i="45"/>
  <c r="H25" i="45"/>
  <c r="F52" i="45"/>
  <c r="G25" i="45"/>
  <c r="F56" i="45"/>
  <c r="C25" i="45"/>
  <c r="E55" i="45"/>
  <c r="D42" i="45"/>
  <c r="F55" i="45"/>
  <c r="D25" i="45"/>
  <c r="E67" i="24"/>
  <c r="E68" i="24"/>
  <c r="D68" i="24"/>
  <c r="D66" i="24"/>
  <c r="E66" i="24"/>
  <c r="E65" i="24"/>
  <c r="D64" i="24"/>
  <c r="D63" i="24"/>
  <c r="E63" i="24"/>
  <c r="E62" i="24"/>
  <c r="D62" i="24"/>
  <c r="H53" i="45" l="1"/>
  <c r="K53" i="45" s="1"/>
  <c r="J52" i="45"/>
  <c r="G54" i="45"/>
  <c r="J54" i="45" s="1"/>
  <c r="H52" i="45"/>
  <c r="K52" i="45" s="1"/>
  <c r="H55" i="45"/>
  <c r="K55" i="45" s="1"/>
  <c r="G53" i="45"/>
  <c r="J53" i="45" s="1"/>
  <c r="H56" i="45"/>
  <c r="K56" i="45" s="1"/>
  <c r="J51" i="45"/>
  <c r="G50" i="45"/>
  <c r="J50" i="45" s="1"/>
  <c r="E49" i="45"/>
  <c r="H50" i="45"/>
  <c r="K50" i="45" s="1"/>
  <c r="F49" i="45"/>
  <c r="H51" i="45"/>
  <c r="K51" i="45" s="1"/>
  <c r="G56" i="45"/>
  <c r="J56" i="45" s="1"/>
  <c r="H54" i="45"/>
  <c r="K54" i="45" s="1"/>
  <c r="G55" i="45"/>
  <c r="J55" i="45" s="1"/>
  <c r="K57" i="45" l="1"/>
  <c r="J57" i="45"/>
  <c r="J58" i="45" l="1"/>
  <c r="E4" i="17"/>
  <c r="E61" i="23" l="1"/>
  <c r="E63" i="23" s="1"/>
  <c r="E38" i="23"/>
  <c r="E76" i="23" s="1"/>
  <c r="E36" i="23"/>
  <c r="E74" i="23" s="1"/>
  <c r="E37" i="23"/>
  <c r="E75" i="23" s="1"/>
  <c r="F29" i="23"/>
  <c r="E48" i="23"/>
  <c r="E67" i="23" s="1"/>
  <c r="E57" i="23" l="1"/>
  <c r="E90" i="23"/>
  <c r="E116" i="23" s="1"/>
  <c r="E56" i="23"/>
  <c r="E89" i="23"/>
  <c r="E115" i="23" s="1"/>
  <c r="E55" i="23"/>
  <c r="E88" i="23"/>
  <c r="E114" i="23" s="1"/>
  <c r="G29" i="23"/>
  <c r="G48" i="23" s="1"/>
  <c r="G67" i="23" s="1"/>
  <c r="F37" i="23"/>
  <c r="F75" i="23" s="1"/>
  <c r="F38" i="23"/>
  <c r="F76" i="23" s="1"/>
  <c r="F36" i="23"/>
  <c r="F74" i="23" s="1"/>
  <c r="F48" i="23"/>
  <c r="F67" i="23" s="1"/>
  <c r="E102" i="23" l="1"/>
  <c r="E101" i="23"/>
  <c r="F57" i="23"/>
  <c r="F90" i="23"/>
  <c r="F116" i="23" s="1"/>
  <c r="F55" i="23"/>
  <c r="F88" i="23"/>
  <c r="F114" i="23" s="1"/>
  <c r="E103" i="23"/>
  <c r="F56" i="23"/>
  <c r="F89" i="23"/>
  <c r="F115" i="23" s="1"/>
  <c r="H29" i="23"/>
  <c r="G36" i="23"/>
  <c r="G74" i="23" s="1"/>
  <c r="G37" i="23"/>
  <c r="G75" i="23" s="1"/>
  <c r="G38" i="23"/>
  <c r="G76" i="23" s="1"/>
  <c r="G12" i="27"/>
  <c r="G13" i="27" s="1"/>
  <c r="E92" i="23" s="1"/>
  <c r="F12" i="27"/>
  <c r="E3" i="27"/>
  <c r="F102" i="23" l="1"/>
  <c r="F103" i="23"/>
  <c r="F101" i="23"/>
  <c r="E119" i="23"/>
  <c r="E105" i="23"/>
  <c r="G55" i="23"/>
  <c r="G88" i="23"/>
  <c r="G114" i="23" s="1"/>
  <c r="G57" i="23"/>
  <c r="G90" i="23"/>
  <c r="G116" i="23" s="1"/>
  <c r="G56" i="23"/>
  <c r="G89" i="23"/>
  <c r="G115" i="23" s="1"/>
  <c r="I29" i="23"/>
  <c r="H36" i="23"/>
  <c r="H74" i="23" s="1"/>
  <c r="H37" i="23"/>
  <c r="H75" i="23" s="1"/>
  <c r="H38" i="23"/>
  <c r="H76" i="23" s="1"/>
  <c r="H48" i="23"/>
  <c r="H67" i="23" s="1"/>
  <c r="C4" i="18"/>
  <c r="E123" i="23" l="1"/>
  <c r="G102" i="23"/>
  <c r="G101" i="23"/>
  <c r="H57" i="23"/>
  <c r="H90" i="23"/>
  <c r="H116" i="23" s="1"/>
  <c r="G103" i="23"/>
  <c r="H56" i="23"/>
  <c r="H89" i="23"/>
  <c r="H115" i="23" s="1"/>
  <c r="H55" i="23"/>
  <c r="H88" i="23"/>
  <c r="H114" i="23" s="1"/>
  <c r="J29" i="23"/>
  <c r="I38" i="23"/>
  <c r="I76" i="23" s="1"/>
  <c r="I36" i="23"/>
  <c r="I74" i="23" s="1"/>
  <c r="I37" i="23"/>
  <c r="I75" i="23" s="1"/>
  <c r="I48" i="23"/>
  <c r="I67" i="23" s="1"/>
  <c r="F4" i="17"/>
  <c r="D16" i="1"/>
  <c r="C4" i="17"/>
  <c r="H103" i="23" l="1"/>
  <c r="H102" i="23"/>
  <c r="E124" i="23"/>
  <c r="H101" i="23"/>
  <c r="F61" i="23"/>
  <c r="F63" i="23" s="1"/>
  <c r="D32" i="23"/>
  <c r="D70" i="23" s="1"/>
  <c r="D34" i="23"/>
  <c r="D72" i="23" s="1"/>
  <c r="D31" i="23"/>
  <c r="D69" i="23" s="1"/>
  <c r="D33" i="23"/>
  <c r="D71" i="23" s="1"/>
  <c r="E32" i="23"/>
  <c r="E70" i="23" s="1"/>
  <c r="E34" i="23"/>
  <c r="E72" i="23" s="1"/>
  <c r="E31" i="23"/>
  <c r="E69" i="23" s="1"/>
  <c r="E33" i="23"/>
  <c r="E71" i="23" s="1"/>
  <c r="F33" i="23"/>
  <c r="F71" i="23" s="1"/>
  <c r="F32" i="23"/>
  <c r="F70" i="23" s="1"/>
  <c r="F34" i="23"/>
  <c r="F72" i="23" s="1"/>
  <c r="F31" i="23"/>
  <c r="F69" i="23" s="1"/>
  <c r="G31" i="23"/>
  <c r="G69" i="23" s="1"/>
  <c r="G34" i="23"/>
  <c r="G72" i="23" s="1"/>
  <c r="G32" i="23"/>
  <c r="G70" i="23" s="1"/>
  <c r="G33" i="23"/>
  <c r="G71" i="23" s="1"/>
  <c r="H32" i="23"/>
  <c r="H70" i="23" s="1"/>
  <c r="H34" i="23"/>
  <c r="H72" i="23" s="1"/>
  <c r="H33" i="23"/>
  <c r="H71" i="23" s="1"/>
  <c r="H31" i="23"/>
  <c r="H69" i="23" s="1"/>
  <c r="I32" i="23"/>
  <c r="I31" i="23"/>
  <c r="I33" i="23"/>
  <c r="I34" i="23"/>
  <c r="I55" i="23"/>
  <c r="I88" i="23"/>
  <c r="I114" i="23" s="1"/>
  <c r="I57" i="23"/>
  <c r="I90" i="23"/>
  <c r="I116" i="23" s="1"/>
  <c r="I56" i="23"/>
  <c r="I89" i="23"/>
  <c r="I115" i="23" s="1"/>
  <c r="K29" i="23"/>
  <c r="J33" i="23"/>
  <c r="J71" i="23" s="1"/>
  <c r="J34" i="23"/>
  <c r="J72" i="23" s="1"/>
  <c r="J31" i="23"/>
  <c r="J69" i="23" s="1"/>
  <c r="J32" i="23"/>
  <c r="J70" i="23" s="1"/>
  <c r="J48" i="23"/>
  <c r="J67" i="23" s="1"/>
  <c r="D65" i="24"/>
  <c r="D18" i="1"/>
  <c r="AO14" i="27" s="1"/>
  <c r="G4" i="17"/>
  <c r="I101" i="23" l="1"/>
  <c r="I102" i="23"/>
  <c r="I52" i="23"/>
  <c r="I71" i="23"/>
  <c r="I128" i="23"/>
  <c r="I154" i="23" s="1"/>
  <c r="I69" i="23"/>
  <c r="I129" i="23"/>
  <c r="I155" i="23" s="1"/>
  <c r="I70" i="23"/>
  <c r="I53" i="23"/>
  <c r="I72" i="23"/>
  <c r="D130" i="23"/>
  <c r="D156" i="23" s="1"/>
  <c r="D52" i="23"/>
  <c r="AM132" i="23"/>
  <c r="AO15" i="27"/>
  <c r="D128" i="23"/>
  <c r="D154" i="23" s="1"/>
  <c r="D50" i="23"/>
  <c r="D131" i="23"/>
  <c r="D157" i="23" s="1"/>
  <c r="D53" i="23"/>
  <c r="D129" i="23"/>
  <c r="D155" i="23" s="1"/>
  <c r="D51" i="23"/>
  <c r="E50" i="23"/>
  <c r="I51" i="23"/>
  <c r="I50" i="23"/>
  <c r="I130" i="23"/>
  <c r="I156" i="23" s="1"/>
  <c r="I131" i="23"/>
  <c r="I157" i="23" s="1"/>
  <c r="G52" i="23"/>
  <c r="G130" i="23"/>
  <c r="G156" i="23" s="1"/>
  <c r="E130" i="23"/>
  <c r="E156" i="23" s="1"/>
  <c r="E52" i="23"/>
  <c r="H52" i="23"/>
  <c r="H130" i="23"/>
  <c r="H156" i="23" s="1"/>
  <c r="G129" i="23"/>
  <c r="G155" i="23" s="1"/>
  <c r="G51" i="23"/>
  <c r="F53" i="23"/>
  <c r="F131" i="23"/>
  <c r="F157" i="23" s="1"/>
  <c r="E128" i="23"/>
  <c r="E154" i="23" s="1"/>
  <c r="F128" i="23"/>
  <c r="F154" i="23" s="1"/>
  <c r="F50" i="23"/>
  <c r="H53" i="23"/>
  <c r="H131" i="23"/>
  <c r="H157" i="23" s="1"/>
  <c r="G53" i="23"/>
  <c r="G131" i="23"/>
  <c r="G157" i="23" s="1"/>
  <c r="F51" i="23"/>
  <c r="F129" i="23"/>
  <c r="F155" i="23" s="1"/>
  <c r="E53" i="23"/>
  <c r="E131" i="23"/>
  <c r="E157" i="23" s="1"/>
  <c r="H50" i="23"/>
  <c r="H128" i="23"/>
  <c r="H154" i="23" s="1"/>
  <c r="H129" i="23"/>
  <c r="H155" i="23" s="1"/>
  <c r="H51" i="23"/>
  <c r="G50" i="23"/>
  <c r="G128" i="23"/>
  <c r="G154" i="23" s="1"/>
  <c r="F52" i="23"/>
  <c r="F130" i="23"/>
  <c r="F156" i="23" s="1"/>
  <c r="E51" i="23"/>
  <c r="E129" i="23"/>
  <c r="E155" i="23" s="1"/>
  <c r="J51" i="23"/>
  <c r="J129" i="23"/>
  <c r="J155" i="23" s="1"/>
  <c r="J52" i="23"/>
  <c r="J130" i="23"/>
  <c r="J156" i="23" s="1"/>
  <c r="J50" i="23"/>
  <c r="J128" i="23"/>
  <c r="J154" i="23" s="1"/>
  <c r="J53" i="23"/>
  <c r="J131" i="23"/>
  <c r="J157" i="23" s="1"/>
  <c r="I103" i="23"/>
  <c r="L29" i="23"/>
  <c r="K32" i="23"/>
  <c r="K70" i="23" s="1"/>
  <c r="K33" i="23"/>
  <c r="K71" i="23" s="1"/>
  <c r="K34" i="23"/>
  <c r="K72" i="23" s="1"/>
  <c r="K31" i="23"/>
  <c r="K69" i="23" s="1"/>
  <c r="K48" i="23"/>
  <c r="K67" i="23" s="1"/>
  <c r="G61" i="23"/>
  <c r="J14" i="27"/>
  <c r="H132" i="23" s="1"/>
  <c r="N14" i="27"/>
  <c r="L132" i="23" s="1"/>
  <c r="R14" i="27"/>
  <c r="P132" i="23" s="1"/>
  <c r="V14" i="27"/>
  <c r="T132" i="23" s="1"/>
  <c r="Z14" i="27"/>
  <c r="X132" i="23" s="1"/>
  <c r="AD14" i="27"/>
  <c r="AB132" i="23" s="1"/>
  <c r="AH14" i="27"/>
  <c r="AF132" i="23" s="1"/>
  <c r="AL14" i="27"/>
  <c r="AJ132" i="23" s="1"/>
  <c r="G14" i="27"/>
  <c r="K14" i="27"/>
  <c r="I132" i="23" s="1"/>
  <c r="O14" i="27"/>
  <c r="M132" i="23" s="1"/>
  <c r="S14" i="27"/>
  <c r="Q132" i="23" s="1"/>
  <c r="W14" i="27"/>
  <c r="U132" i="23" s="1"/>
  <c r="AA14" i="27"/>
  <c r="Y132" i="23" s="1"/>
  <c r="AE14" i="27"/>
  <c r="AC132" i="23" s="1"/>
  <c r="AI14" i="27"/>
  <c r="AG132" i="23" s="1"/>
  <c r="AM14" i="27"/>
  <c r="H14" i="27"/>
  <c r="F132" i="23" s="1"/>
  <c r="L14" i="27"/>
  <c r="J132" i="23" s="1"/>
  <c r="P14" i="27"/>
  <c r="N132" i="23" s="1"/>
  <c r="T14" i="27"/>
  <c r="R132" i="23" s="1"/>
  <c r="X14" i="27"/>
  <c r="V132" i="23" s="1"/>
  <c r="AB14" i="27"/>
  <c r="Z132" i="23" s="1"/>
  <c r="AF14" i="27"/>
  <c r="AD132" i="23" s="1"/>
  <c r="AJ14" i="27"/>
  <c r="AH132" i="23" s="1"/>
  <c r="AN14" i="27"/>
  <c r="Q14" i="27"/>
  <c r="O132" i="23" s="1"/>
  <c r="AG14" i="27"/>
  <c r="AE132" i="23" s="1"/>
  <c r="I14" i="27"/>
  <c r="G132" i="23" s="1"/>
  <c r="U14" i="27"/>
  <c r="S132" i="23" s="1"/>
  <c r="AK14" i="27"/>
  <c r="AI132" i="23" s="1"/>
  <c r="Y14" i="27"/>
  <c r="W132" i="23" s="1"/>
  <c r="F14" i="27"/>
  <c r="D132" i="23" s="1"/>
  <c r="M14" i="27"/>
  <c r="K132" i="23" s="1"/>
  <c r="AC14" i="27"/>
  <c r="AA132" i="23" s="1"/>
  <c r="D67" i="24"/>
  <c r="H12" i="27"/>
  <c r="H4" i="17"/>
  <c r="K145" i="23" l="1"/>
  <c r="S145" i="23"/>
  <c r="F145" i="23"/>
  <c r="Y145" i="23"/>
  <c r="I145" i="23"/>
  <c r="AB145" i="23"/>
  <c r="L145" i="23"/>
  <c r="J141" i="23"/>
  <c r="F143" i="23"/>
  <c r="E144" i="23"/>
  <c r="G145" i="23"/>
  <c r="R145" i="23"/>
  <c r="I144" i="23"/>
  <c r="AM145" i="23"/>
  <c r="W145" i="23"/>
  <c r="AE145" i="23"/>
  <c r="AD145" i="23"/>
  <c r="N145" i="23"/>
  <c r="AG145" i="23"/>
  <c r="Q145" i="23"/>
  <c r="AJ145" i="23"/>
  <c r="T145" i="23"/>
  <c r="J144" i="23"/>
  <c r="J143" i="23"/>
  <c r="E142" i="23"/>
  <c r="G141" i="23"/>
  <c r="H141" i="23"/>
  <c r="F142" i="23"/>
  <c r="F159" i="23"/>
  <c r="F163" i="23" s="1"/>
  <c r="H144" i="23"/>
  <c r="E141" i="23"/>
  <c r="G142" i="23"/>
  <c r="E143" i="23"/>
  <c r="I143" i="23"/>
  <c r="V145" i="23"/>
  <c r="J142" i="23"/>
  <c r="G144" i="23"/>
  <c r="D145" i="23"/>
  <c r="AH145" i="23"/>
  <c r="U145" i="23"/>
  <c r="X145" i="23"/>
  <c r="H145" i="23"/>
  <c r="H142" i="23"/>
  <c r="F141" i="23"/>
  <c r="D144" i="23"/>
  <c r="I141" i="23"/>
  <c r="AA145" i="23"/>
  <c r="AI145" i="23"/>
  <c r="O145" i="23"/>
  <c r="Z145" i="23"/>
  <c r="J145" i="23"/>
  <c r="AC145" i="23"/>
  <c r="M145" i="23"/>
  <c r="AF145" i="23"/>
  <c r="P145" i="23"/>
  <c r="F144" i="23"/>
  <c r="H143" i="23"/>
  <c r="G143" i="23"/>
  <c r="D142" i="23"/>
  <c r="D159" i="23"/>
  <c r="D141" i="23"/>
  <c r="D143" i="23"/>
  <c r="I142" i="23"/>
  <c r="I159" i="23"/>
  <c r="I163" i="23" s="1"/>
  <c r="H61" i="23"/>
  <c r="H63" i="23" s="1"/>
  <c r="AM40" i="23"/>
  <c r="AN15" i="27"/>
  <c r="AL132" i="23"/>
  <c r="D133" i="23"/>
  <c r="K52" i="23"/>
  <c r="K130" i="23"/>
  <c r="K156" i="23" s="1"/>
  <c r="K50" i="23"/>
  <c r="K128" i="23"/>
  <c r="K154" i="23" s="1"/>
  <c r="K51" i="23"/>
  <c r="K129" i="23"/>
  <c r="K155" i="23" s="1"/>
  <c r="K53" i="23"/>
  <c r="K131" i="23"/>
  <c r="K157" i="23" s="1"/>
  <c r="G63" i="23"/>
  <c r="M29" i="23"/>
  <c r="L31" i="23"/>
  <c r="L69" i="23" s="1"/>
  <c r="L32" i="23"/>
  <c r="L70" i="23" s="1"/>
  <c r="L33" i="23"/>
  <c r="L71" i="23" s="1"/>
  <c r="L34" i="23"/>
  <c r="L72" i="23" s="1"/>
  <c r="L48" i="23"/>
  <c r="L67" i="23" s="1"/>
  <c r="F133" i="23"/>
  <c r="F137" i="23" s="1"/>
  <c r="I133" i="23"/>
  <c r="I137" i="23" s="1"/>
  <c r="G133" i="23"/>
  <c r="G137" i="23" s="1"/>
  <c r="F15" i="27"/>
  <c r="D40" i="23" s="1"/>
  <c r="D78" i="23" s="1"/>
  <c r="AM15" i="27"/>
  <c r="AK132" i="23"/>
  <c r="G15" i="27"/>
  <c r="E40" i="23" s="1"/>
  <c r="E78" i="23" s="1"/>
  <c r="E79" i="23" s="1"/>
  <c r="E83" i="23" s="1"/>
  <c r="E132" i="23"/>
  <c r="H133" i="23"/>
  <c r="H137" i="23" s="1"/>
  <c r="J133" i="23"/>
  <c r="J137" i="23" s="1"/>
  <c r="H13" i="27"/>
  <c r="F92" i="23" s="1"/>
  <c r="I4" i="17"/>
  <c r="I61" i="23" s="1"/>
  <c r="I63" i="23" s="1"/>
  <c r="I12" i="27"/>
  <c r="I146" i="23" l="1"/>
  <c r="I150" i="23" s="1"/>
  <c r="J146" i="23"/>
  <c r="J150" i="23" s="1"/>
  <c r="D146" i="23"/>
  <c r="H159" i="23"/>
  <c r="H163" i="23" s="1"/>
  <c r="G159" i="23"/>
  <c r="G163" i="23" s="1"/>
  <c r="J159" i="23"/>
  <c r="J163" i="23" s="1"/>
  <c r="H146" i="23"/>
  <c r="H150" i="23" s="1"/>
  <c r="F146" i="23"/>
  <c r="F150" i="23" s="1"/>
  <c r="G146" i="23"/>
  <c r="G150" i="23" s="1"/>
  <c r="K143" i="23"/>
  <c r="AK145" i="23"/>
  <c r="K144" i="23"/>
  <c r="K141" i="23"/>
  <c r="E145" i="23"/>
  <c r="E146" i="23" s="1"/>
  <c r="E159" i="23"/>
  <c r="E163" i="23" s="1"/>
  <c r="K142" i="23"/>
  <c r="AL145" i="23"/>
  <c r="D163" i="23"/>
  <c r="F119" i="23"/>
  <c r="AM59" i="23"/>
  <c r="AM78" i="23"/>
  <c r="D79" i="23"/>
  <c r="AK40" i="23"/>
  <c r="AL40" i="23"/>
  <c r="C132" i="23"/>
  <c r="I15" i="23" s="1"/>
  <c r="D137" i="23"/>
  <c r="F105" i="23"/>
  <c r="D41" i="23"/>
  <c r="D59" i="23"/>
  <c r="K133" i="23"/>
  <c r="K137" i="23" s="1"/>
  <c r="L51" i="23"/>
  <c r="L129" i="23"/>
  <c r="L155" i="23" s="1"/>
  <c r="L53" i="23"/>
  <c r="L131" i="23"/>
  <c r="L157" i="23" s="1"/>
  <c r="L50" i="23"/>
  <c r="L128" i="23"/>
  <c r="L154" i="23" s="1"/>
  <c r="L52" i="23"/>
  <c r="L130" i="23"/>
  <c r="L156" i="23" s="1"/>
  <c r="N29" i="23"/>
  <c r="M34" i="23"/>
  <c r="M72" i="23" s="1"/>
  <c r="M31" i="23"/>
  <c r="M69" i="23" s="1"/>
  <c r="M32" i="23"/>
  <c r="M70" i="23" s="1"/>
  <c r="M33" i="23"/>
  <c r="M71" i="23" s="1"/>
  <c r="M48" i="23"/>
  <c r="M67" i="23" s="1"/>
  <c r="E59" i="23"/>
  <c r="E60" i="23" s="1"/>
  <c r="E64" i="23" s="1"/>
  <c r="E133" i="23"/>
  <c r="E137" i="23" s="1"/>
  <c r="I13" i="27"/>
  <c r="G92" i="23" s="1"/>
  <c r="H15" i="27"/>
  <c r="F40" i="23" s="1"/>
  <c r="F78" i="23" s="1"/>
  <c r="F79" i="23" s="1"/>
  <c r="F83" i="23" s="1"/>
  <c r="T10" i="18"/>
  <c r="T14" i="18" s="1"/>
  <c r="T18" i="18" s="1"/>
  <c r="T11" i="18"/>
  <c r="T15" i="18" s="1"/>
  <c r="T19" i="18" s="1"/>
  <c r="W11" i="18"/>
  <c r="W15" i="18" s="1"/>
  <c r="W19" i="18" s="1"/>
  <c r="W10" i="18"/>
  <c r="W14" i="18" s="1"/>
  <c r="W18" i="18" s="1"/>
  <c r="AI11" i="18"/>
  <c r="AI15" i="18" s="1"/>
  <c r="AI19" i="18" s="1"/>
  <c r="AI10" i="18"/>
  <c r="AI14" i="18" s="1"/>
  <c r="AI18" i="18" s="1"/>
  <c r="X10" i="18"/>
  <c r="X14" i="18" s="1"/>
  <c r="X18" i="18" s="1"/>
  <c r="X11" i="18"/>
  <c r="X15" i="18" s="1"/>
  <c r="X19" i="18" s="1"/>
  <c r="AJ11" i="18"/>
  <c r="AJ15" i="18" s="1"/>
  <c r="AJ19" i="18" s="1"/>
  <c r="AJ10" i="18"/>
  <c r="AJ14" i="18" s="1"/>
  <c r="AJ18" i="18" s="1"/>
  <c r="M11" i="18"/>
  <c r="M15" i="18" s="1"/>
  <c r="M19" i="18" s="1"/>
  <c r="M10" i="18"/>
  <c r="M14" i="18" s="1"/>
  <c r="M18" i="18" s="1"/>
  <c r="G10" i="18"/>
  <c r="G14" i="18" s="1"/>
  <c r="G18" i="18" s="1"/>
  <c r="G11" i="18"/>
  <c r="H10" i="18"/>
  <c r="H14" i="18" s="1"/>
  <c r="H18" i="18" s="1"/>
  <c r="H11" i="18"/>
  <c r="H15" i="18" s="1"/>
  <c r="H19" i="18" s="1"/>
  <c r="R10" i="18"/>
  <c r="R14" i="18" s="1"/>
  <c r="R18" i="18" s="1"/>
  <c r="R11" i="18"/>
  <c r="R15" i="18" s="1"/>
  <c r="R19" i="18" s="1"/>
  <c r="Y11" i="18"/>
  <c r="Y15" i="18" s="1"/>
  <c r="Y19" i="18" s="1"/>
  <c r="Y10" i="18"/>
  <c r="Y14" i="18" s="1"/>
  <c r="Y18" i="18" s="1"/>
  <c r="AC10" i="18"/>
  <c r="AC14" i="18" s="1"/>
  <c r="AC18" i="18" s="1"/>
  <c r="AC11" i="18"/>
  <c r="AC15" i="18" s="1"/>
  <c r="AC19" i="18" s="1"/>
  <c r="AK11" i="18"/>
  <c r="AK15" i="18" s="1"/>
  <c r="AK19" i="18" s="1"/>
  <c r="AK10" i="18"/>
  <c r="AK14" i="18" s="1"/>
  <c r="AK18" i="18" s="1"/>
  <c r="AD11" i="18"/>
  <c r="AD15" i="18" s="1"/>
  <c r="AD19" i="18" s="1"/>
  <c r="AD10" i="18"/>
  <c r="AD14" i="18" s="1"/>
  <c r="AD18" i="18" s="1"/>
  <c r="K10" i="18"/>
  <c r="K14" i="18" s="1"/>
  <c r="K18" i="18" s="1"/>
  <c r="K11" i="18"/>
  <c r="K15" i="18" s="1"/>
  <c r="K19" i="18" s="1"/>
  <c r="L11" i="18"/>
  <c r="L15" i="18" s="1"/>
  <c r="L19" i="18" s="1"/>
  <c r="L10" i="18"/>
  <c r="L14" i="18" s="1"/>
  <c r="L18" i="18" s="1"/>
  <c r="S11" i="18"/>
  <c r="S15" i="18" s="1"/>
  <c r="S19" i="18" s="1"/>
  <c r="S10" i="18"/>
  <c r="S14" i="18" s="1"/>
  <c r="S18" i="18" s="1"/>
  <c r="AM11" i="18"/>
  <c r="AM15" i="18" s="1"/>
  <c r="AM19" i="18" s="1"/>
  <c r="AM10" i="18"/>
  <c r="AM14" i="18" s="1"/>
  <c r="AM18" i="18" s="1"/>
  <c r="P11" i="18"/>
  <c r="P15" i="18" s="1"/>
  <c r="P19" i="18" s="1"/>
  <c r="P10" i="18"/>
  <c r="P14" i="18" s="1"/>
  <c r="P18" i="18" s="1"/>
  <c r="AB10" i="18"/>
  <c r="AB14" i="18" s="1"/>
  <c r="AB18" i="18" s="1"/>
  <c r="AB11" i="18"/>
  <c r="AB15" i="18" s="1"/>
  <c r="AB19" i="18" s="1"/>
  <c r="I10" i="18"/>
  <c r="I14" i="18" s="1"/>
  <c r="I18" i="18" s="1"/>
  <c r="I11" i="18"/>
  <c r="I15" i="18" s="1"/>
  <c r="I19" i="18" s="1"/>
  <c r="U11" i="18"/>
  <c r="U15" i="18" s="1"/>
  <c r="U19" i="18" s="1"/>
  <c r="U10" i="18"/>
  <c r="U14" i="18" s="1"/>
  <c r="U18" i="18" s="1"/>
  <c r="AG10" i="18"/>
  <c r="AG14" i="18" s="1"/>
  <c r="AG18" i="18" s="1"/>
  <c r="AG11" i="18"/>
  <c r="AG15" i="18" s="1"/>
  <c r="AG19" i="18" s="1"/>
  <c r="J11" i="18"/>
  <c r="J15" i="18" s="1"/>
  <c r="J19" i="18" s="1"/>
  <c r="J10" i="18"/>
  <c r="J14" i="18" s="1"/>
  <c r="J18" i="18" s="1"/>
  <c r="N10" i="18"/>
  <c r="N14" i="18" s="1"/>
  <c r="N18" i="18" s="1"/>
  <c r="N11" i="18"/>
  <c r="N15" i="18" s="1"/>
  <c r="N19" i="18" s="1"/>
  <c r="Q10" i="18"/>
  <c r="Q14" i="18" s="1"/>
  <c r="Q18" i="18" s="1"/>
  <c r="Q11" i="18"/>
  <c r="Q15" i="18" s="1"/>
  <c r="Q19" i="18" s="1"/>
  <c r="V11" i="18"/>
  <c r="V15" i="18" s="1"/>
  <c r="V19" i="18" s="1"/>
  <c r="V10" i="18"/>
  <c r="V14" i="18" s="1"/>
  <c r="V18" i="18" s="1"/>
  <c r="Z11" i="18"/>
  <c r="Z15" i="18" s="1"/>
  <c r="Z19" i="18" s="1"/>
  <c r="Z10" i="18"/>
  <c r="Z14" i="18" s="1"/>
  <c r="Z18" i="18" s="1"/>
  <c r="AH11" i="18"/>
  <c r="AH15" i="18" s="1"/>
  <c r="AH19" i="18" s="1"/>
  <c r="AH10" i="18"/>
  <c r="AH14" i="18" s="1"/>
  <c r="AH18" i="18" s="1"/>
  <c r="O11" i="18"/>
  <c r="O15" i="18" s="1"/>
  <c r="O19" i="18" s="1"/>
  <c r="O10" i="18"/>
  <c r="O14" i="18" s="1"/>
  <c r="O18" i="18" s="1"/>
  <c r="AA11" i="18"/>
  <c r="AA15" i="18" s="1"/>
  <c r="AA19" i="18" s="1"/>
  <c r="AA10" i="18"/>
  <c r="AA14" i="18" s="1"/>
  <c r="AA18" i="18" s="1"/>
  <c r="AE11" i="18"/>
  <c r="AE15" i="18" s="1"/>
  <c r="AE19" i="18" s="1"/>
  <c r="AE10" i="18"/>
  <c r="AE14" i="18" s="1"/>
  <c r="AE18" i="18" s="1"/>
  <c r="AF11" i="18"/>
  <c r="AF15" i="18" s="1"/>
  <c r="AF19" i="18" s="1"/>
  <c r="AF10" i="18"/>
  <c r="AF14" i="18" s="1"/>
  <c r="AF18" i="18" s="1"/>
  <c r="AL11" i="18"/>
  <c r="AL15" i="18" s="1"/>
  <c r="AL19" i="18" s="1"/>
  <c r="AL10" i="18"/>
  <c r="AL14" i="18" s="1"/>
  <c r="AL18" i="18" s="1"/>
  <c r="F44" i="23"/>
  <c r="J12" i="27"/>
  <c r="J4" i="17"/>
  <c r="K146" i="23" l="1"/>
  <c r="K150" i="23" s="1"/>
  <c r="K159" i="23"/>
  <c r="K163" i="23" s="1"/>
  <c r="L143" i="23"/>
  <c r="L144" i="23"/>
  <c r="L141" i="23"/>
  <c r="L142" i="23"/>
  <c r="C158" i="23"/>
  <c r="K15" i="23" s="1"/>
  <c r="D164" i="23"/>
  <c r="E164" i="23" s="1"/>
  <c r="F164" i="23" s="1"/>
  <c r="G164" i="23" s="1"/>
  <c r="H164" i="23" s="1"/>
  <c r="I164" i="23" s="1"/>
  <c r="J164" i="23" s="1"/>
  <c r="G105" i="23"/>
  <c r="G119" i="23"/>
  <c r="G123" i="23" s="1"/>
  <c r="F123" i="23"/>
  <c r="AL59" i="23"/>
  <c r="AL78" i="23"/>
  <c r="D83" i="23"/>
  <c r="AK59" i="23"/>
  <c r="AK78" i="23"/>
  <c r="E150" i="23"/>
  <c r="D60" i="23"/>
  <c r="C145" i="23"/>
  <c r="J15" i="23" s="1"/>
  <c r="D138" i="23"/>
  <c r="E138" i="23" s="1"/>
  <c r="F138" i="23" s="1"/>
  <c r="G138" i="23" s="1"/>
  <c r="H138" i="23" s="1"/>
  <c r="I138" i="23" s="1"/>
  <c r="J138" i="23" s="1"/>
  <c r="K138" i="23" s="1"/>
  <c r="D45" i="23"/>
  <c r="D150" i="23"/>
  <c r="J61" i="23"/>
  <c r="J63" i="23" s="1"/>
  <c r="K4" i="17"/>
  <c r="L4" i="17" s="1"/>
  <c r="M4" i="17" s="1"/>
  <c r="N4" i="17" s="1"/>
  <c r="O4" i="17" s="1"/>
  <c r="P4" i="17" s="1"/>
  <c r="Q4" i="17" s="1"/>
  <c r="R4" i="17" s="1"/>
  <c r="S4" i="17" s="1"/>
  <c r="T4" i="17" s="1"/>
  <c r="U4" i="17" s="1"/>
  <c r="V4" i="17" s="1"/>
  <c r="W4" i="17" s="1"/>
  <c r="X4" i="17" s="1"/>
  <c r="Y4" i="17" s="1"/>
  <c r="Z4" i="17" s="1"/>
  <c r="AA4" i="17" s="1"/>
  <c r="AB4" i="17" s="1"/>
  <c r="AC4" i="17" s="1"/>
  <c r="AD4" i="17" s="1"/>
  <c r="AE4" i="17" s="1"/>
  <c r="AF4" i="17" s="1"/>
  <c r="AG4" i="17" s="1"/>
  <c r="AH4" i="17" s="1"/>
  <c r="AI4" i="17" s="1"/>
  <c r="AJ4" i="17" s="1"/>
  <c r="AK4" i="17" s="1"/>
  <c r="AL4" i="17" s="1"/>
  <c r="AM4" i="17" s="1"/>
  <c r="M51" i="23"/>
  <c r="M129" i="23"/>
  <c r="M155" i="23" s="1"/>
  <c r="L133" i="23"/>
  <c r="L137" i="23" s="1"/>
  <c r="M50" i="23"/>
  <c r="M128" i="23"/>
  <c r="M154" i="23" s="1"/>
  <c r="M52" i="23"/>
  <c r="M130" i="23"/>
  <c r="M156" i="23" s="1"/>
  <c r="M53" i="23"/>
  <c r="M131" i="23"/>
  <c r="M157" i="23" s="1"/>
  <c r="O29" i="23"/>
  <c r="N33" i="23"/>
  <c r="N71" i="23" s="1"/>
  <c r="N34" i="23"/>
  <c r="N72" i="23" s="1"/>
  <c r="N31" i="23"/>
  <c r="N69" i="23" s="1"/>
  <c r="N32" i="23"/>
  <c r="N70" i="23" s="1"/>
  <c r="N48" i="23"/>
  <c r="N67" i="23" s="1"/>
  <c r="E41" i="23"/>
  <c r="AC25" i="41"/>
  <c r="AC31" i="41" s="1"/>
  <c r="AC11" i="33"/>
  <c r="AJ26" i="41"/>
  <c r="AJ12" i="33"/>
  <c r="AJ17" i="33" s="1"/>
  <c r="AC26" i="41"/>
  <c r="AC12" i="33"/>
  <c r="AC17" i="33" s="1"/>
  <c r="M26" i="41"/>
  <c r="M12" i="33"/>
  <c r="M17" i="33" s="1"/>
  <c r="X26" i="41"/>
  <c r="X12" i="33"/>
  <c r="X17" i="33" s="1"/>
  <c r="O25" i="41"/>
  <c r="O30" i="41" s="1"/>
  <c r="O11" i="33"/>
  <c r="O16" i="33" s="1"/>
  <c r="H26" i="41"/>
  <c r="H12" i="33"/>
  <c r="S26" i="41"/>
  <c r="S12" i="33"/>
  <c r="S17" i="33" s="1"/>
  <c r="Z25" i="41"/>
  <c r="Z11" i="33"/>
  <c r="Z16" i="33" s="1"/>
  <c r="AK26" i="41"/>
  <c r="AK12" i="33"/>
  <c r="AK17" i="33" s="1"/>
  <c r="J26" i="41"/>
  <c r="J12" i="33"/>
  <c r="J17" i="33" s="1"/>
  <c r="AB26" i="41"/>
  <c r="AB12" i="33"/>
  <c r="AB17" i="33" s="1"/>
  <c r="AA25" i="41"/>
  <c r="AA31" i="41" s="1"/>
  <c r="AA11" i="33"/>
  <c r="AA16" i="33" s="1"/>
  <c r="P25" i="41"/>
  <c r="P34" i="41" s="1"/>
  <c r="P11" i="33"/>
  <c r="P16" i="33" s="1"/>
  <c r="E25" i="41"/>
  <c r="E33" i="41" s="1"/>
  <c r="E11" i="33"/>
  <c r="E16" i="33" s="1"/>
  <c r="AH26" i="41"/>
  <c r="AH12" i="33"/>
  <c r="AH17" i="33" s="1"/>
  <c r="AG26" i="41"/>
  <c r="AG12" i="33"/>
  <c r="AG17" i="33" s="1"/>
  <c r="R25" i="41"/>
  <c r="R30" i="41" s="1"/>
  <c r="R11" i="33"/>
  <c r="R16" i="33" s="1"/>
  <c r="Y25" i="41"/>
  <c r="Y33" i="41" s="1"/>
  <c r="Y11" i="33"/>
  <c r="T25" i="41"/>
  <c r="T30" i="41" s="1"/>
  <c r="T11" i="33"/>
  <c r="T16" i="33" s="1"/>
  <c r="L26" i="41"/>
  <c r="L12" i="33"/>
  <c r="AE26" i="41"/>
  <c r="AE12" i="33"/>
  <c r="AE17" i="33" s="1"/>
  <c r="G26" i="41"/>
  <c r="G12" i="33"/>
  <c r="G17" i="33" s="1"/>
  <c r="N25" i="41"/>
  <c r="N32" i="41" s="1"/>
  <c r="N11" i="33"/>
  <c r="N16" i="33" s="1"/>
  <c r="Q25" i="41"/>
  <c r="Q33" i="41" s="1"/>
  <c r="Q11" i="33"/>
  <c r="Q16" i="33" s="1"/>
  <c r="I26" i="41"/>
  <c r="I12" i="33"/>
  <c r="I17" i="33" s="1"/>
  <c r="AI25" i="41"/>
  <c r="AI33" i="41" s="1"/>
  <c r="AI11" i="33"/>
  <c r="AI16" i="33" s="1"/>
  <c r="W25" i="41"/>
  <c r="W30" i="41" s="1"/>
  <c r="W11" i="33"/>
  <c r="W16" i="33" s="1"/>
  <c r="F26" i="41"/>
  <c r="F12" i="33"/>
  <c r="K25" i="41"/>
  <c r="K32" i="41" s="1"/>
  <c r="K11" i="33"/>
  <c r="K16" i="33" s="1"/>
  <c r="V26" i="41"/>
  <c r="V12" i="33"/>
  <c r="V17" i="33" s="1"/>
  <c r="U25" i="41"/>
  <c r="U33" i="41" s="1"/>
  <c r="U11" i="33"/>
  <c r="U16" i="33" s="1"/>
  <c r="AD25" i="41"/>
  <c r="AD31" i="41" s="1"/>
  <c r="AD11" i="33"/>
  <c r="AD16" i="33" s="1"/>
  <c r="AF25" i="41"/>
  <c r="AF32" i="41" s="1"/>
  <c r="AF11" i="33"/>
  <c r="AF16" i="33" s="1"/>
  <c r="AD26" i="41"/>
  <c r="AD12" i="33"/>
  <c r="AD17" i="33" s="1"/>
  <c r="Y26" i="41"/>
  <c r="Y12" i="33"/>
  <c r="Y17" i="33" s="1"/>
  <c r="AF26" i="41"/>
  <c r="AF12" i="33"/>
  <c r="AF17" i="33" s="1"/>
  <c r="T26" i="41"/>
  <c r="T12" i="33"/>
  <c r="T17" i="33" s="1"/>
  <c r="L25" i="41"/>
  <c r="L33" i="41" s="1"/>
  <c r="L11" i="33"/>
  <c r="AE25" i="41"/>
  <c r="AE30" i="41" s="1"/>
  <c r="AE11" i="33"/>
  <c r="AE16" i="33" s="1"/>
  <c r="G25" i="41"/>
  <c r="G30" i="41" s="1"/>
  <c r="G11" i="33"/>
  <c r="G16" i="33" s="1"/>
  <c r="N26" i="41"/>
  <c r="N12" i="33"/>
  <c r="N17" i="33" s="1"/>
  <c r="Q26" i="41"/>
  <c r="Q12" i="33"/>
  <c r="Q17" i="33" s="1"/>
  <c r="I25" i="41"/>
  <c r="I30" i="41" s="1"/>
  <c r="I11" i="33"/>
  <c r="I16" i="33" s="1"/>
  <c r="AI26" i="41"/>
  <c r="AI12" i="33"/>
  <c r="AI17" i="33" s="1"/>
  <c r="W26" i="41"/>
  <c r="W12" i="33"/>
  <c r="W17" i="33" s="1"/>
  <c r="F25" i="41"/>
  <c r="F32" i="41" s="1"/>
  <c r="F11" i="33"/>
  <c r="K26" i="41"/>
  <c r="K12" i="33"/>
  <c r="K17" i="33" s="1"/>
  <c r="V25" i="41"/>
  <c r="V30" i="41" s="1"/>
  <c r="V11" i="33"/>
  <c r="V16" i="33" s="1"/>
  <c r="U26" i="41"/>
  <c r="U12" i="33"/>
  <c r="U17" i="33" s="1"/>
  <c r="AJ25" i="41"/>
  <c r="AJ32" i="41" s="1"/>
  <c r="AJ11" i="33"/>
  <c r="AJ16" i="33" s="1"/>
  <c r="M25" i="41"/>
  <c r="M32" i="41" s="1"/>
  <c r="M11" i="33"/>
  <c r="M16" i="33" s="1"/>
  <c r="X25" i="41"/>
  <c r="X30" i="41" s="1"/>
  <c r="X11" i="33"/>
  <c r="X16" i="33" s="1"/>
  <c r="O26" i="41"/>
  <c r="O27" i="41" s="1"/>
  <c r="O12" i="33"/>
  <c r="O17" i="33" s="1"/>
  <c r="H25" i="41"/>
  <c r="H32" i="41" s="1"/>
  <c r="H11" i="33"/>
  <c r="H16" i="33" s="1"/>
  <c r="S25" i="41"/>
  <c r="S30" i="41" s="1"/>
  <c r="S11" i="33"/>
  <c r="S16" i="33" s="1"/>
  <c r="Z26" i="41"/>
  <c r="Z12" i="33"/>
  <c r="Z17" i="33" s="1"/>
  <c r="AK25" i="41"/>
  <c r="AK34" i="41" s="1"/>
  <c r="AK11" i="33"/>
  <c r="AK16" i="33" s="1"/>
  <c r="J25" i="41"/>
  <c r="J11" i="33"/>
  <c r="J16" i="33" s="1"/>
  <c r="AB25" i="41"/>
  <c r="AB33" i="41" s="1"/>
  <c r="AB11" i="33"/>
  <c r="AB16" i="33" s="1"/>
  <c r="AA26" i="41"/>
  <c r="AA12" i="33"/>
  <c r="AA17" i="33" s="1"/>
  <c r="P26" i="41"/>
  <c r="P12" i="33"/>
  <c r="P17" i="33" s="1"/>
  <c r="AH25" i="41"/>
  <c r="AH33" i="41" s="1"/>
  <c r="AH11" i="33"/>
  <c r="AG25" i="41"/>
  <c r="AG31" i="41" s="1"/>
  <c r="AG11" i="33"/>
  <c r="AG16" i="33" s="1"/>
  <c r="R26" i="41"/>
  <c r="R12" i="33"/>
  <c r="R17" i="33" s="1"/>
  <c r="F59" i="23"/>
  <c r="F60" i="23" s="1"/>
  <c r="F64" i="23" s="1"/>
  <c r="AA30" i="41"/>
  <c r="AA33" i="41"/>
  <c r="AD30" i="41"/>
  <c r="AD34" i="41"/>
  <c r="Q34" i="41"/>
  <c r="Q32" i="41"/>
  <c r="L32" i="41"/>
  <c r="AE31" i="41"/>
  <c r="F31" i="41"/>
  <c r="F27" i="41"/>
  <c r="J13" i="27"/>
  <c r="H92" i="23" s="1"/>
  <c r="I15" i="27"/>
  <c r="G23" i="18"/>
  <c r="AF23" i="18"/>
  <c r="AD13" i="32" s="1"/>
  <c r="AA23" i="18"/>
  <c r="Y13" i="32" s="1"/>
  <c r="Y16" i="33"/>
  <c r="AH23" i="18"/>
  <c r="AF13" i="32" s="1"/>
  <c r="V23" i="18"/>
  <c r="T13" i="32" s="1"/>
  <c r="N24" i="18"/>
  <c r="L17" i="33"/>
  <c r="AG24" i="18"/>
  <c r="I24" i="18"/>
  <c r="P23" i="18"/>
  <c r="N13" i="32" s="1"/>
  <c r="S23" i="18"/>
  <c r="Q13" i="32" s="1"/>
  <c r="K24" i="18"/>
  <c r="AK23" i="18"/>
  <c r="AI13" i="32" s="1"/>
  <c r="Y23" i="18"/>
  <c r="W13" i="32" s="1"/>
  <c r="H24" i="18"/>
  <c r="F17" i="33"/>
  <c r="M23" i="18"/>
  <c r="K13" i="32" s="1"/>
  <c r="X24" i="18"/>
  <c r="W23" i="18"/>
  <c r="U13" i="32" s="1"/>
  <c r="AF24" i="18"/>
  <c r="AA24" i="18"/>
  <c r="AH24" i="18"/>
  <c r="V24" i="18"/>
  <c r="T14" i="32" s="1"/>
  <c r="N23" i="18"/>
  <c r="L13" i="32" s="1"/>
  <c r="L16" i="33"/>
  <c r="AG23" i="18"/>
  <c r="AE13" i="32" s="1"/>
  <c r="I23" i="18"/>
  <c r="G13" i="32" s="1"/>
  <c r="P24" i="18"/>
  <c r="S24" i="18"/>
  <c r="Q14" i="32" s="1"/>
  <c r="K23" i="18"/>
  <c r="I13" i="32" s="1"/>
  <c r="AK24" i="18"/>
  <c r="AI14" i="32" s="1"/>
  <c r="Y24" i="18"/>
  <c r="H23" i="18"/>
  <c r="F13" i="32" s="1"/>
  <c r="F16" i="33"/>
  <c r="M24" i="18"/>
  <c r="X23" i="18"/>
  <c r="V13" i="32" s="1"/>
  <c r="W24" i="18"/>
  <c r="U14" i="32" s="1"/>
  <c r="AL23" i="18"/>
  <c r="AJ13" i="32" s="1"/>
  <c r="AE23" i="18"/>
  <c r="AC13" i="32" s="1"/>
  <c r="AC16" i="33"/>
  <c r="O23" i="18"/>
  <c r="M13" i="32" s="1"/>
  <c r="Z23" i="18"/>
  <c r="X13" i="32" s="1"/>
  <c r="Q24" i="18"/>
  <c r="J23" i="18"/>
  <c r="H13" i="32" s="1"/>
  <c r="U23" i="18"/>
  <c r="S13" i="32" s="1"/>
  <c r="AB24" i="18"/>
  <c r="AM23" i="18"/>
  <c r="AK13" i="32" s="1"/>
  <c r="AD23" i="18"/>
  <c r="AB13" i="32" s="1"/>
  <c r="AC24" i="18"/>
  <c r="R24" i="18"/>
  <c r="P14" i="32" s="1"/>
  <c r="AJ23" i="18"/>
  <c r="AH13" i="32" s="1"/>
  <c r="AH16" i="33"/>
  <c r="AI23" i="18"/>
  <c r="AG13" i="32" s="1"/>
  <c r="T24" i="18"/>
  <c r="AL24" i="18"/>
  <c r="AE24" i="18"/>
  <c r="O24" i="18"/>
  <c r="Z24" i="18"/>
  <c r="Q23" i="18"/>
  <c r="O13" i="32" s="1"/>
  <c r="J24" i="18"/>
  <c r="H17" i="33"/>
  <c r="U24" i="18"/>
  <c r="AB23" i="18"/>
  <c r="Z13" i="32" s="1"/>
  <c r="AM24" i="18"/>
  <c r="L24" i="18"/>
  <c r="AD24" i="18"/>
  <c r="AC23" i="18"/>
  <c r="AA13" i="32" s="1"/>
  <c r="R23" i="18"/>
  <c r="P13" i="32" s="1"/>
  <c r="AJ24" i="18"/>
  <c r="AH14" i="32" s="1"/>
  <c r="AI24" i="18"/>
  <c r="T23" i="18"/>
  <c r="R13" i="32" s="1"/>
  <c r="G15" i="18"/>
  <c r="G19" i="18" s="1"/>
  <c r="C11" i="18"/>
  <c r="C10" i="18"/>
  <c r="L23" i="18"/>
  <c r="J13" i="32" s="1"/>
  <c r="L20" i="18"/>
  <c r="J20" i="18"/>
  <c r="AG20" i="18"/>
  <c r="I20" i="18"/>
  <c r="H20" i="18"/>
  <c r="M20" i="18"/>
  <c r="AI20" i="18"/>
  <c r="AL20" i="18"/>
  <c r="AA20" i="18"/>
  <c r="V20" i="18"/>
  <c r="U20" i="18"/>
  <c r="AM20" i="18"/>
  <c r="S20" i="18"/>
  <c r="AD20" i="18"/>
  <c r="AK20" i="18"/>
  <c r="K20" i="18"/>
  <c r="AC20" i="18"/>
  <c r="W20" i="18"/>
  <c r="AF20" i="18"/>
  <c r="AE20" i="18"/>
  <c r="O20" i="18"/>
  <c r="AH20" i="18"/>
  <c r="Z20" i="18"/>
  <c r="P20" i="18"/>
  <c r="T20" i="18"/>
  <c r="G44" i="23"/>
  <c r="E44" i="23"/>
  <c r="K12" i="27"/>
  <c r="K61" i="23"/>
  <c r="K63" i="23" s="1"/>
  <c r="K164" i="23" l="1"/>
  <c r="L159" i="23"/>
  <c r="L163" i="23" s="1"/>
  <c r="M144" i="23"/>
  <c r="M143" i="23"/>
  <c r="M141" i="23"/>
  <c r="M142" i="23"/>
  <c r="H105" i="23"/>
  <c r="H119" i="23"/>
  <c r="H123" i="23" s="1"/>
  <c r="F124" i="23"/>
  <c r="G124" i="23" s="1"/>
  <c r="D84" i="23"/>
  <c r="E84" i="23" s="1"/>
  <c r="F84" i="23" s="1"/>
  <c r="R32" i="41"/>
  <c r="H33" i="41"/>
  <c r="K34" i="41"/>
  <c r="T31" i="41"/>
  <c r="W27" i="41"/>
  <c r="X33" i="41"/>
  <c r="G40" i="23"/>
  <c r="D46" i="23"/>
  <c r="D151" i="23"/>
  <c r="E151" i="23" s="1"/>
  <c r="F151" i="23" s="1"/>
  <c r="G151" i="23" s="1"/>
  <c r="H151" i="23" s="1"/>
  <c r="I151" i="23" s="1"/>
  <c r="J151" i="23" s="1"/>
  <c r="K151" i="23" s="1"/>
  <c r="L146" i="23"/>
  <c r="D64" i="23"/>
  <c r="Z27" i="41"/>
  <c r="G33" i="41"/>
  <c r="Z32" i="41"/>
  <c r="AC34" i="41"/>
  <c r="V27" i="41"/>
  <c r="AI32" i="41"/>
  <c r="Y32" i="41"/>
  <c r="E32" i="41"/>
  <c r="E48" i="41" s="1"/>
  <c r="AH32" i="41"/>
  <c r="AH48" i="41" s="1"/>
  <c r="AC30" i="41"/>
  <c r="V32" i="41"/>
  <c r="V48" i="41" s="1"/>
  <c r="F34" i="41"/>
  <c r="F30" i="41"/>
  <c r="G32" i="41"/>
  <c r="L27" i="41"/>
  <c r="L31" i="41"/>
  <c r="L47" i="41" s="1"/>
  <c r="AI27" i="41"/>
  <c r="AI31" i="41"/>
  <c r="AI47" i="41" s="1"/>
  <c r="Q31" i="41"/>
  <c r="Q47" i="41" s="1"/>
  <c r="Y31" i="41"/>
  <c r="Y47" i="41" s="1"/>
  <c r="AD33" i="41"/>
  <c r="E30" i="41"/>
  <c r="AA27" i="41"/>
  <c r="Z34" i="41"/>
  <c r="Z31" i="41"/>
  <c r="Z47" i="41" s="1"/>
  <c r="AH31" i="41"/>
  <c r="AH47" i="41" s="1"/>
  <c r="H31" i="41"/>
  <c r="H47" i="41" s="1"/>
  <c r="X32" i="41"/>
  <c r="X48" i="41" s="1"/>
  <c r="AC33" i="41"/>
  <c r="AJ31" i="41"/>
  <c r="AJ47" i="41" s="1"/>
  <c r="V34" i="41"/>
  <c r="F33" i="41"/>
  <c r="L34" i="41"/>
  <c r="AI34" i="41"/>
  <c r="Q30" i="41"/>
  <c r="Y34" i="41"/>
  <c r="AD32" i="41"/>
  <c r="AD35" i="41" s="1"/>
  <c r="E34" i="41"/>
  <c r="E31" i="41"/>
  <c r="E47" i="41" s="1"/>
  <c r="AA32" i="41"/>
  <c r="AA48" i="41" s="1"/>
  <c r="Z33" i="41"/>
  <c r="Z30" i="41"/>
  <c r="H27" i="41"/>
  <c r="H30" i="41"/>
  <c r="X31" i="41"/>
  <c r="X47" i="41" s="1"/>
  <c r="AC32" i="41"/>
  <c r="AJ30" i="41"/>
  <c r="Y27" i="41"/>
  <c r="V31" i="41"/>
  <c r="G27" i="41"/>
  <c r="G31" i="41"/>
  <c r="G47" i="41" s="1"/>
  <c r="L30" i="41"/>
  <c r="AI30" i="41"/>
  <c r="Y30" i="41"/>
  <c r="V33" i="41"/>
  <c r="G34" i="41"/>
  <c r="Q27" i="41"/>
  <c r="AD27" i="41"/>
  <c r="AA34" i="41"/>
  <c r="AH34" i="41"/>
  <c r="H34" i="41"/>
  <c r="X27" i="41"/>
  <c r="AC27" i="41"/>
  <c r="L138" i="23"/>
  <c r="N50" i="23"/>
  <c r="N128" i="23"/>
  <c r="N154" i="23" s="1"/>
  <c r="N53" i="23"/>
  <c r="N131" i="23"/>
  <c r="N157" i="23" s="1"/>
  <c r="M133" i="23"/>
  <c r="M137" i="23" s="1"/>
  <c r="N52" i="23"/>
  <c r="N130" i="23"/>
  <c r="N156" i="23" s="1"/>
  <c r="N51" i="23"/>
  <c r="N129" i="23"/>
  <c r="N155" i="23" s="1"/>
  <c r="P29" i="23"/>
  <c r="O32" i="23"/>
  <c r="O70" i="23" s="1"/>
  <c r="O33" i="23"/>
  <c r="O71" i="23" s="1"/>
  <c r="O34" i="23"/>
  <c r="O72" i="23" s="1"/>
  <c r="O31" i="23"/>
  <c r="O69" i="23" s="1"/>
  <c r="O48" i="23"/>
  <c r="O67" i="23" s="1"/>
  <c r="F41" i="23"/>
  <c r="I33" i="41"/>
  <c r="AF31" i="41"/>
  <c r="AF47" i="41" s="1"/>
  <c r="AG27" i="41"/>
  <c r="AH30" i="41"/>
  <c r="AJ34" i="41"/>
  <c r="X34" i="41"/>
  <c r="AJ33" i="41"/>
  <c r="N27" i="41"/>
  <c r="U30" i="41"/>
  <c r="N30" i="41"/>
  <c r="P27" i="41"/>
  <c r="AK32" i="41"/>
  <c r="AK48" i="41" s="1"/>
  <c r="AG33" i="41"/>
  <c r="AK27" i="41"/>
  <c r="AJ27" i="41"/>
  <c r="AB32" i="41"/>
  <c r="AB48" i="41" s="1"/>
  <c r="S31" i="41"/>
  <c r="S47" i="41" s="1"/>
  <c r="I31" i="41"/>
  <c r="I47" i="41" s="1"/>
  <c r="I34" i="41"/>
  <c r="AE32" i="41"/>
  <c r="AE48" i="41" s="1"/>
  <c r="U32" i="41"/>
  <c r="U48" i="41" s="1"/>
  <c r="K27" i="41"/>
  <c r="K30" i="41"/>
  <c r="W31" i="41"/>
  <c r="W47" i="41" s="1"/>
  <c r="N31" i="41"/>
  <c r="N47" i="41" s="1"/>
  <c r="T32" i="41"/>
  <c r="T48" i="41" s="1"/>
  <c r="AF33" i="41"/>
  <c r="R33" i="41"/>
  <c r="P33" i="41"/>
  <c r="P30" i="41"/>
  <c r="O34" i="41"/>
  <c r="AG34" i="41"/>
  <c r="AB34" i="41"/>
  <c r="AK33" i="41"/>
  <c r="S32" i="41"/>
  <c r="S48" i="41" s="1"/>
  <c r="M30" i="41"/>
  <c r="I32" i="41"/>
  <c r="I48" i="41" s="1"/>
  <c r="AE34" i="41"/>
  <c r="U34" i="41"/>
  <c r="K33" i="41"/>
  <c r="W33" i="41"/>
  <c r="N34" i="41"/>
  <c r="T27" i="41"/>
  <c r="AF27" i="41"/>
  <c r="AF30" i="41"/>
  <c r="R31" i="41"/>
  <c r="R47" i="41" s="1"/>
  <c r="P32" i="41"/>
  <c r="O32" i="41"/>
  <c r="O48" i="41" s="1"/>
  <c r="AG32" i="41"/>
  <c r="AG48" i="41" s="1"/>
  <c r="AB31" i="41"/>
  <c r="AB47" i="41" s="1"/>
  <c r="AK31" i="41"/>
  <c r="AK47" i="41" s="1"/>
  <c r="S27" i="41"/>
  <c r="M27" i="41"/>
  <c r="AE27" i="41"/>
  <c r="K31" i="41"/>
  <c r="K47" i="41" s="1"/>
  <c r="W32" i="41"/>
  <c r="W48" i="41" s="1"/>
  <c r="N33" i="41"/>
  <c r="T33" i="41"/>
  <c r="AF34" i="41"/>
  <c r="R27" i="41"/>
  <c r="P31" i="41"/>
  <c r="P47" i="41" s="1"/>
  <c r="O33" i="41"/>
  <c r="AG30" i="41"/>
  <c r="AB27" i="41"/>
  <c r="AB30" i="41"/>
  <c r="AK30" i="41"/>
  <c r="S33" i="41"/>
  <c r="M31" i="41"/>
  <c r="M47" i="41" s="1"/>
  <c r="M34" i="41"/>
  <c r="U27" i="41"/>
  <c r="AH27" i="41"/>
  <c r="M33" i="41"/>
  <c r="I27" i="41"/>
  <c r="AE33" i="41"/>
  <c r="U31" i="41"/>
  <c r="U47" i="41" s="1"/>
  <c r="W34" i="41"/>
  <c r="T34" i="41"/>
  <c r="R34" i="41"/>
  <c r="O31" i="41"/>
  <c r="O47" i="41" s="1"/>
  <c r="S34" i="41"/>
  <c r="AB14" i="32"/>
  <c r="AB19" i="32" s="1"/>
  <c r="AB24" i="32" s="1"/>
  <c r="S14" i="32"/>
  <c r="S19" i="32" s="1"/>
  <c r="S24" i="32" s="1"/>
  <c r="M14" i="32"/>
  <c r="M19" i="32" s="1"/>
  <c r="M24" i="32" s="1"/>
  <c r="K14" i="32"/>
  <c r="K19" i="32" s="1"/>
  <c r="K24" i="32" s="1"/>
  <c r="W14" i="32"/>
  <c r="W19" i="32" s="1"/>
  <c r="W24" i="32" s="1"/>
  <c r="N14" i="32"/>
  <c r="N19" i="32" s="1"/>
  <c r="N24" i="32" s="1"/>
  <c r="AE14" i="32"/>
  <c r="AE19" i="32" s="1"/>
  <c r="AE24" i="32" s="1"/>
  <c r="X14" i="32"/>
  <c r="X19" i="32" s="1"/>
  <c r="X24" i="32" s="1"/>
  <c r="O14" i="32"/>
  <c r="O19" i="32" s="1"/>
  <c r="O24" i="32" s="1"/>
  <c r="AD14" i="32"/>
  <c r="AD19" i="32" s="1"/>
  <c r="AD24" i="32" s="1"/>
  <c r="F14" i="32"/>
  <c r="F19" i="32" s="1"/>
  <c r="F24" i="32" s="1"/>
  <c r="L14" i="32"/>
  <c r="L19" i="32" s="1"/>
  <c r="L24" i="32" s="1"/>
  <c r="J14" i="32"/>
  <c r="J19" i="32" s="1"/>
  <c r="J24" i="32" s="1"/>
  <c r="H14" i="32"/>
  <c r="H19" i="32" s="1"/>
  <c r="H24" i="32" s="1"/>
  <c r="AC14" i="32"/>
  <c r="AC19" i="32" s="1"/>
  <c r="AC24" i="32" s="1"/>
  <c r="R14" i="32"/>
  <c r="R19" i="32" s="1"/>
  <c r="R24" i="32" s="1"/>
  <c r="AA14" i="32"/>
  <c r="AA19" i="32" s="1"/>
  <c r="AA24" i="32" s="1"/>
  <c r="AF14" i="32"/>
  <c r="AF19" i="32" s="1"/>
  <c r="AF24" i="32" s="1"/>
  <c r="V14" i="32"/>
  <c r="V19" i="32" s="1"/>
  <c r="V24" i="32" s="1"/>
  <c r="G14" i="32"/>
  <c r="G19" i="32" s="1"/>
  <c r="G24" i="32" s="1"/>
  <c r="E26" i="41"/>
  <c r="E27" i="41" s="1"/>
  <c r="E12" i="33"/>
  <c r="E17" i="33" s="1"/>
  <c r="AG14" i="32"/>
  <c r="AG19" i="32" s="1"/>
  <c r="AG24" i="32" s="1"/>
  <c r="E13" i="32"/>
  <c r="E18" i="32" s="1"/>
  <c r="E23" i="32" s="1"/>
  <c r="AK14" i="32"/>
  <c r="AK19" i="32" s="1"/>
  <c r="AK24" i="32" s="1"/>
  <c r="AJ14" i="32"/>
  <c r="AJ19" i="32" s="1"/>
  <c r="AJ24" i="32" s="1"/>
  <c r="Z14" i="32"/>
  <c r="Z19" i="32" s="1"/>
  <c r="Z24" i="32" s="1"/>
  <c r="Y14" i="32"/>
  <c r="Y19" i="32" s="1"/>
  <c r="Y24" i="32" s="1"/>
  <c r="I14" i="32"/>
  <c r="I19" i="32" s="1"/>
  <c r="I24" i="32" s="1"/>
  <c r="AD47" i="41"/>
  <c r="Y48" i="41"/>
  <c r="R48" i="41"/>
  <c r="AE47" i="41"/>
  <c r="T47" i="41"/>
  <c r="AC48" i="41"/>
  <c r="F47" i="41"/>
  <c r="Z48" i="41"/>
  <c r="H48" i="41"/>
  <c r="M48" i="41"/>
  <c r="AJ48" i="41"/>
  <c r="F48" i="41"/>
  <c r="L48" i="41"/>
  <c r="K48" i="41"/>
  <c r="AI48" i="41"/>
  <c r="Q48" i="41"/>
  <c r="N48" i="41"/>
  <c r="AF48" i="41"/>
  <c r="AA47" i="41"/>
  <c r="AG47" i="41"/>
  <c r="AC47" i="41"/>
  <c r="H25" i="18"/>
  <c r="AK25" i="18"/>
  <c r="I25" i="18"/>
  <c r="J31" i="41"/>
  <c r="J34" i="41"/>
  <c r="J30" i="41"/>
  <c r="J33" i="41"/>
  <c r="J27" i="41"/>
  <c r="J32" i="41"/>
  <c r="G24" i="18"/>
  <c r="E14" i="32" s="1"/>
  <c r="Q35" i="41"/>
  <c r="K13" i="27"/>
  <c r="I92" i="23" s="1"/>
  <c r="J15" i="27"/>
  <c r="H40" i="23" s="1"/>
  <c r="H78" i="23" s="1"/>
  <c r="H79" i="23" s="1"/>
  <c r="H83" i="23" s="1"/>
  <c r="S25" i="18"/>
  <c r="AF25" i="18"/>
  <c r="N25" i="18"/>
  <c r="Y25" i="18"/>
  <c r="AH25" i="18"/>
  <c r="AG25" i="18"/>
  <c r="M25" i="18"/>
  <c r="AA25" i="18"/>
  <c r="X25" i="18"/>
  <c r="G20" i="18"/>
  <c r="K25" i="18"/>
  <c r="V25" i="18"/>
  <c r="O25" i="18"/>
  <c r="J13" i="33"/>
  <c r="U25" i="18"/>
  <c r="AB25" i="18"/>
  <c r="W25" i="18"/>
  <c r="AJ25" i="18"/>
  <c r="J25" i="18"/>
  <c r="AC25" i="18"/>
  <c r="P25" i="18"/>
  <c r="Z25" i="18"/>
  <c r="T25" i="18"/>
  <c r="L25" i="18"/>
  <c r="Q25" i="18"/>
  <c r="AE25" i="18"/>
  <c r="AM25" i="18"/>
  <c r="AL25" i="18"/>
  <c r="R25" i="18"/>
  <c r="AA13" i="33"/>
  <c r="Z13" i="33"/>
  <c r="AH13" i="33"/>
  <c r="H13" i="33"/>
  <c r="X13" i="33"/>
  <c r="AC13" i="33"/>
  <c r="I13" i="33"/>
  <c r="AE13" i="33"/>
  <c r="U13" i="33"/>
  <c r="K13" i="33"/>
  <c r="W13" i="33"/>
  <c r="N13" i="33"/>
  <c r="T13" i="33"/>
  <c r="Y13" i="33"/>
  <c r="AD25" i="18"/>
  <c r="AI25" i="18"/>
  <c r="R13" i="33"/>
  <c r="P13" i="33"/>
  <c r="O13" i="33"/>
  <c r="AG13" i="33"/>
  <c r="AB13" i="33"/>
  <c r="AK13" i="33"/>
  <c r="S13" i="33"/>
  <c r="M13" i="33"/>
  <c r="AJ13" i="33"/>
  <c r="V13" i="33"/>
  <c r="F13" i="33"/>
  <c r="G13" i="33"/>
  <c r="L13" i="33"/>
  <c r="AI13" i="33"/>
  <c r="Q13" i="33"/>
  <c r="AF13" i="33"/>
  <c r="AD13" i="33"/>
  <c r="C14" i="18"/>
  <c r="C15" i="18"/>
  <c r="X20" i="18"/>
  <c r="T19" i="32"/>
  <c r="T24" i="32" s="1"/>
  <c r="Y20" i="18"/>
  <c r="AJ20" i="18"/>
  <c r="AB20" i="18"/>
  <c r="N20" i="18"/>
  <c r="R20" i="18"/>
  <c r="Q20" i="18"/>
  <c r="U19" i="32"/>
  <c r="U24" i="32" s="1"/>
  <c r="AH19" i="32"/>
  <c r="AH24" i="32" s="1"/>
  <c r="P19" i="32"/>
  <c r="P24" i="32" s="1"/>
  <c r="AI19" i="32"/>
  <c r="AI24" i="32" s="1"/>
  <c r="Q19" i="32"/>
  <c r="Q24" i="32" s="1"/>
  <c r="H18" i="32"/>
  <c r="H44" i="23"/>
  <c r="L12" i="27"/>
  <c r="L61" i="23"/>
  <c r="L63" i="23" s="1"/>
  <c r="L164" i="23" l="1"/>
  <c r="M146" i="23"/>
  <c r="M150" i="23" s="1"/>
  <c r="M159" i="23"/>
  <c r="M163" i="23" s="1"/>
  <c r="N142" i="23"/>
  <c r="N141" i="23"/>
  <c r="N143" i="23"/>
  <c r="N144" i="23"/>
  <c r="I105" i="23"/>
  <c r="I119" i="23"/>
  <c r="I123" i="23" s="1"/>
  <c r="H124" i="23"/>
  <c r="G41" i="23"/>
  <c r="G78" i="23"/>
  <c r="AI35" i="41"/>
  <c r="V35" i="41"/>
  <c r="Y35" i="41"/>
  <c r="V47" i="41"/>
  <c r="L35" i="41"/>
  <c r="F35" i="41"/>
  <c r="AC35" i="41"/>
  <c r="AJ35" i="41"/>
  <c r="G59" i="23"/>
  <c r="G60" i="23" s="1"/>
  <c r="G64" i="23" s="1"/>
  <c r="D65" i="23"/>
  <c r="E65" i="23" s="1"/>
  <c r="F65" i="23" s="1"/>
  <c r="L150" i="23"/>
  <c r="E35" i="41"/>
  <c r="G35" i="41"/>
  <c r="H35" i="41"/>
  <c r="Z35" i="41"/>
  <c r="G48" i="41"/>
  <c r="AA35" i="41"/>
  <c r="AD48" i="41"/>
  <c r="AH35" i="41"/>
  <c r="X35" i="41"/>
  <c r="M138" i="23"/>
  <c r="O52" i="23"/>
  <c r="O130" i="23"/>
  <c r="O156" i="23" s="1"/>
  <c r="O51" i="23"/>
  <c r="O129" i="23"/>
  <c r="O155" i="23" s="1"/>
  <c r="N133" i="23"/>
  <c r="N137" i="23" s="1"/>
  <c r="O50" i="23"/>
  <c r="O128" i="23"/>
  <c r="O154" i="23" s="1"/>
  <c r="O53" i="23"/>
  <c r="O131" i="23"/>
  <c r="O157" i="23" s="1"/>
  <c r="Q29" i="23"/>
  <c r="P31" i="23"/>
  <c r="P69" i="23" s="1"/>
  <c r="P32" i="23"/>
  <c r="P70" i="23" s="1"/>
  <c r="P33" i="23"/>
  <c r="P71" i="23" s="1"/>
  <c r="P34" i="23"/>
  <c r="P72" i="23" s="1"/>
  <c r="P48" i="23"/>
  <c r="P67" i="23" s="1"/>
  <c r="T35" i="41"/>
  <c r="AE35" i="41"/>
  <c r="AG35" i="41"/>
  <c r="P35" i="41"/>
  <c r="K35" i="41"/>
  <c r="AF35" i="41"/>
  <c r="P48" i="41"/>
  <c r="AK35" i="41"/>
  <c r="AB35" i="41"/>
  <c r="S35" i="41"/>
  <c r="O35" i="41"/>
  <c r="N35" i="41"/>
  <c r="I35" i="41"/>
  <c r="H15" i="32"/>
  <c r="R35" i="41"/>
  <c r="W35" i="41"/>
  <c r="M35" i="41"/>
  <c r="U35" i="41"/>
  <c r="J48" i="41"/>
  <c r="H59" i="23"/>
  <c r="J47" i="41"/>
  <c r="J35" i="41"/>
  <c r="L13" i="27"/>
  <c r="J92" i="23" s="1"/>
  <c r="K15" i="27"/>
  <c r="I40" i="23" s="1"/>
  <c r="I78" i="23" s="1"/>
  <c r="I79" i="23" s="1"/>
  <c r="I83" i="23" s="1"/>
  <c r="J18" i="33"/>
  <c r="C20" i="18"/>
  <c r="C19" i="18"/>
  <c r="C18" i="18"/>
  <c r="AK18" i="32"/>
  <c r="AK15" i="32"/>
  <c r="H23" i="32"/>
  <c r="H20" i="32"/>
  <c r="AJ18" i="32"/>
  <c r="AJ15" i="32"/>
  <c r="Q18" i="32"/>
  <c r="Q15" i="32"/>
  <c r="Z18" i="32"/>
  <c r="Z15" i="32"/>
  <c r="AI15" i="32"/>
  <c r="AI18" i="32"/>
  <c r="K15" i="32"/>
  <c r="K18" i="32"/>
  <c r="T18" i="32"/>
  <c r="T15" i="32"/>
  <c r="M15" i="32"/>
  <c r="M18" i="32"/>
  <c r="W18" i="32"/>
  <c r="W15" i="32"/>
  <c r="AD18" i="32"/>
  <c r="AD15" i="32"/>
  <c r="AF15" i="32"/>
  <c r="AF18" i="32"/>
  <c r="AE18" i="32"/>
  <c r="AE15" i="32"/>
  <c r="F18" i="32"/>
  <c r="F23" i="32" s="1"/>
  <c r="F25" i="32" s="1"/>
  <c r="F15" i="32"/>
  <c r="O18" i="32"/>
  <c r="O15" i="32"/>
  <c r="AG18" i="32"/>
  <c r="AG15" i="32"/>
  <c r="AC18" i="32"/>
  <c r="AC15" i="32"/>
  <c r="X18" i="32"/>
  <c r="X15" i="32"/>
  <c r="Y15" i="32"/>
  <c r="Y18" i="32"/>
  <c r="V18" i="32"/>
  <c r="V15" i="32"/>
  <c r="AB18" i="32"/>
  <c r="AB15" i="32"/>
  <c r="L18" i="32"/>
  <c r="L15" i="32"/>
  <c r="I18" i="32"/>
  <c r="I15" i="32"/>
  <c r="U18" i="32"/>
  <c r="U15" i="32"/>
  <c r="AH18" i="32"/>
  <c r="AH15" i="32"/>
  <c r="R18" i="32"/>
  <c r="R15" i="32"/>
  <c r="G18" i="32"/>
  <c r="G15" i="32"/>
  <c r="S18" i="32"/>
  <c r="S15" i="32"/>
  <c r="P15" i="32"/>
  <c r="P18" i="32"/>
  <c r="AA15" i="32"/>
  <c r="AA18" i="32"/>
  <c r="N15" i="32"/>
  <c r="N18" i="32"/>
  <c r="J18" i="32"/>
  <c r="J15" i="32"/>
  <c r="I44" i="23"/>
  <c r="M12" i="27"/>
  <c r="M61" i="23"/>
  <c r="M63" i="23" s="1"/>
  <c r="N146" i="23" l="1"/>
  <c r="N150" i="23" s="1"/>
  <c r="N159" i="23"/>
  <c r="N163" i="23" s="1"/>
  <c r="O141" i="23"/>
  <c r="O142" i="23"/>
  <c r="O144" i="23"/>
  <c r="O143" i="23"/>
  <c r="M164" i="23"/>
  <c r="I124" i="23"/>
  <c r="J105" i="23"/>
  <c r="G79" i="23"/>
  <c r="G65" i="23"/>
  <c r="L151" i="23"/>
  <c r="M151" i="23" s="1"/>
  <c r="P52" i="23"/>
  <c r="P130" i="23"/>
  <c r="P156" i="23" s="1"/>
  <c r="O133" i="23"/>
  <c r="O137" i="23" s="1"/>
  <c r="P51" i="23"/>
  <c r="P129" i="23"/>
  <c r="P155" i="23" s="1"/>
  <c r="N138" i="23"/>
  <c r="P53" i="23"/>
  <c r="P131" i="23"/>
  <c r="P157" i="23" s="1"/>
  <c r="P50" i="23"/>
  <c r="P128" i="23"/>
  <c r="P154" i="23" s="1"/>
  <c r="H60" i="23"/>
  <c r="R29" i="23"/>
  <c r="Q34" i="23"/>
  <c r="Q72" i="23" s="1"/>
  <c r="Q31" i="23"/>
  <c r="Q69" i="23" s="1"/>
  <c r="Q32" i="23"/>
  <c r="Q70" i="23" s="1"/>
  <c r="Q33" i="23"/>
  <c r="Q71" i="23" s="1"/>
  <c r="Q48" i="23"/>
  <c r="Q67" i="23" s="1"/>
  <c r="H41" i="23"/>
  <c r="I59" i="23"/>
  <c r="I60" i="23" s="1"/>
  <c r="I64" i="23" s="1"/>
  <c r="M13" i="27"/>
  <c r="K92" i="23" s="1"/>
  <c r="L15" i="27"/>
  <c r="J40" i="23" s="1"/>
  <c r="J78" i="23" s="1"/>
  <c r="H18" i="33"/>
  <c r="Y18" i="33"/>
  <c r="S18" i="33"/>
  <c r="Z18" i="33"/>
  <c r="N18" i="33"/>
  <c r="AA18" i="33"/>
  <c r="AJ18" i="33"/>
  <c r="AB18" i="33"/>
  <c r="V18" i="33"/>
  <c r="AH18" i="33"/>
  <c r="AC18" i="33"/>
  <c r="I18" i="33"/>
  <c r="U18" i="33"/>
  <c r="T18" i="33"/>
  <c r="AK18" i="33"/>
  <c r="AE18" i="33"/>
  <c r="AG18" i="33"/>
  <c r="AF18" i="33"/>
  <c r="X18" i="33"/>
  <c r="R18" i="33"/>
  <c r="Q18" i="33"/>
  <c r="F18" i="33"/>
  <c r="M18" i="33"/>
  <c r="AI18" i="33"/>
  <c r="C24" i="18"/>
  <c r="E19" i="32"/>
  <c r="E24" i="32" s="1"/>
  <c r="K18" i="33"/>
  <c r="G18" i="33"/>
  <c r="P18" i="33"/>
  <c r="W18" i="33"/>
  <c r="O18" i="33"/>
  <c r="L18" i="33"/>
  <c r="AD18" i="33"/>
  <c r="E18" i="33"/>
  <c r="G25" i="18"/>
  <c r="C25" i="18" s="1"/>
  <c r="C23" i="18"/>
  <c r="E13" i="33"/>
  <c r="AA23" i="32"/>
  <c r="AA20" i="32"/>
  <c r="AF23" i="32"/>
  <c r="AF20" i="32"/>
  <c r="K23" i="32"/>
  <c r="K20" i="32"/>
  <c r="AI23" i="32"/>
  <c r="AI20" i="32"/>
  <c r="Q20" i="32"/>
  <c r="Q23" i="32"/>
  <c r="H25" i="32"/>
  <c r="AK23" i="32"/>
  <c r="AK20" i="32"/>
  <c r="S23" i="32"/>
  <c r="S20" i="32"/>
  <c r="U23" i="32"/>
  <c r="U20" i="32"/>
  <c r="I23" i="32"/>
  <c r="I20" i="32"/>
  <c r="AB23" i="32"/>
  <c r="AB20" i="32"/>
  <c r="X23" i="32"/>
  <c r="X20" i="32"/>
  <c r="AG20" i="32"/>
  <c r="AG23" i="32"/>
  <c r="F20" i="32"/>
  <c r="AE23" i="32"/>
  <c r="AE20" i="32"/>
  <c r="W20" i="32"/>
  <c r="W23" i="32"/>
  <c r="Z23" i="32"/>
  <c r="Z20" i="32"/>
  <c r="J23" i="32"/>
  <c r="J20" i="32"/>
  <c r="N23" i="32"/>
  <c r="N20" i="32"/>
  <c r="P20" i="32"/>
  <c r="P23" i="32"/>
  <c r="Y23" i="32"/>
  <c r="Y20" i="32"/>
  <c r="M20" i="32"/>
  <c r="M23" i="32"/>
  <c r="AJ23" i="32"/>
  <c r="AJ20" i="32"/>
  <c r="G23" i="32"/>
  <c r="G20" i="32"/>
  <c r="R20" i="32"/>
  <c r="R23" i="32"/>
  <c r="AH23" i="32"/>
  <c r="AH20" i="32"/>
  <c r="L23" i="32"/>
  <c r="L20" i="32"/>
  <c r="V20" i="32"/>
  <c r="V23" i="32"/>
  <c r="AC23" i="32"/>
  <c r="AC20" i="32"/>
  <c r="O23" i="32"/>
  <c r="O20" i="32"/>
  <c r="AD23" i="32"/>
  <c r="AD20" i="32"/>
  <c r="T20" i="32"/>
  <c r="T23" i="32"/>
  <c r="J44" i="23"/>
  <c r="N12" i="27"/>
  <c r="N13" i="27" s="1"/>
  <c r="L92" i="23" s="1"/>
  <c r="N61" i="23"/>
  <c r="N63" i="23" s="1"/>
  <c r="N151" i="23" l="1"/>
  <c r="N164" i="23"/>
  <c r="O146" i="23"/>
  <c r="O150" i="23" s="1"/>
  <c r="P141" i="23"/>
  <c r="P144" i="23"/>
  <c r="P142" i="23"/>
  <c r="P143" i="23"/>
  <c r="O159" i="23"/>
  <c r="O163" i="23" s="1"/>
  <c r="K105" i="23"/>
  <c r="L105" i="23"/>
  <c r="G83" i="23"/>
  <c r="C6" i="47"/>
  <c r="H64" i="23"/>
  <c r="O138" i="23"/>
  <c r="Q51" i="23"/>
  <c r="Q129" i="23"/>
  <c r="Q155" i="23" s="1"/>
  <c r="Q50" i="23"/>
  <c r="Q128" i="23"/>
  <c r="Q154" i="23" s="1"/>
  <c r="P133" i="23"/>
  <c r="P137" i="23" s="1"/>
  <c r="Q52" i="23"/>
  <c r="Q130" i="23"/>
  <c r="Q156" i="23" s="1"/>
  <c r="Q53" i="23"/>
  <c r="Q131" i="23"/>
  <c r="Q157" i="23" s="1"/>
  <c r="S29" i="23"/>
  <c r="R33" i="23"/>
  <c r="R71" i="23" s="1"/>
  <c r="R34" i="23"/>
  <c r="R72" i="23" s="1"/>
  <c r="R31" i="23"/>
  <c r="R69" i="23" s="1"/>
  <c r="R32" i="23"/>
  <c r="R70" i="23" s="1"/>
  <c r="R48" i="23"/>
  <c r="R67" i="23" s="1"/>
  <c r="I41" i="23"/>
  <c r="J59" i="23"/>
  <c r="M15" i="27"/>
  <c r="E25" i="32"/>
  <c r="E15" i="32"/>
  <c r="AD25" i="32"/>
  <c r="AC25" i="32"/>
  <c r="L25" i="32"/>
  <c r="Q25" i="32"/>
  <c r="T25" i="32"/>
  <c r="V25" i="32"/>
  <c r="AJ25" i="32"/>
  <c r="N25" i="32"/>
  <c r="J25" i="32"/>
  <c r="AE25" i="32"/>
  <c r="X25" i="32"/>
  <c r="AB25" i="32"/>
  <c r="U25" i="32"/>
  <c r="S25" i="32"/>
  <c r="AK25" i="32"/>
  <c r="AI25" i="32"/>
  <c r="O25" i="32"/>
  <c r="AH25" i="32"/>
  <c r="G25" i="32"/>
  <c r="M25" i="32"/>
  <c r="P25" i="32"/>
  <c r="W25" i="32"/>
  <c r="AG25" i="32"/>
  <c r="R25" i="32"/>
  <c r="Y25" i="32"/>
  <c r="Z25" i="32"/>
  <c r="I25" i="32"/>
  <c r="K25" i="32"/>
  <c r="AF25" i="32"/>
  <c r="AA25" i="32"/>
  <c r="K44" i="23"/>
  <c r="O12" i="27"/>
  <c r="O61" i="23"/>
  <c r="O63" i="23" s="1"/>
  <c r="N15" i="27"/>
  <c r="L40" i="23" s="1"/>
  <c r="L78" i="23" s="1"/>
  <c r="O164" i="23" l="1"/>
  <c r="O151" i="23"/>
  <c r="P146" i="23"/>
  <c r="P150" i="23" s="1"/>
  <c r="P159" i="23"/>
  <c r="P163" i="23" s="1"/>
  <c r="Q144" i="23"/>
  <c r="Q143" i="23"/>
  <c r="Q141" i="23"/>
  <c r="Q159" i="23"/>
  <c r="Q163" i="23" s="1"/>
  <c r="Q142" i="23"/>
  <c r="G84" i="23"/>
  <c r="H84" i="23" s="1"/>
  <c r="I84" i="23" s="1"/>
  <c r="C19" i="47"/>
  <c r="C33" i="47"/>
  <c r="K40" i="23"/>
  <c r="H65" i="23"/>
  <c r="I65" i="23" s="1"/>
  <c r="P138" i="23"/>
  <c r="R52" i="23"/>
  <c r="R130" i="23"/>
  <c r="R156" i="23" s="1"/>
  <c r="R50" i="23"/>
  <c r="R128" i="23"/>
  <c r="R154" i="23" s="1"/>
  <c r="R51" i="23"/>
  <c r="R129" i="23"/>
  <c r="R155" i="23" s="1"/>
  <c r="R53" i="23"/>
  <c r="R131" i="23"/>
  <c r="R157" i="23" s="1"/>
  <c r="Q133" i="23"/>
  <c r="Q137" i="23" s="1"/>
  <c r="T29" i="23"/>
  <c r="S32" i="23"/>
  <c r="S70" i="23" s="1"/>
  <c r="S33" i="23"/>
  <c r="S71" i="23" s="1"/>
  <c r="S34" i="23"/>
  <c r="S72" i="23" s="1"/>
  <c r="S31" i="23"/>
  <c r="S69" i="23" s="1"/>
  <c r="S48" i="23"/>
  <c r="S67" i="23" s="1"/>
  <c r="F33" i="47"/>
  <c r="E60" i="47" s="1"/>
  <c r="E33" i="47"/>
  <c r="E61" i="47" s="1"/>
  <c r="F63" i="47"/>
  <c r="H19" i="47"/>
  <c r="F58" i="47" s="1"/>
  <c r="D33" i="47"/>
  <c r="E62" i="47" s="1"/>
  <c r="I19" i="47"/>
  <c r="F57" i="47" s="1"/>
  <c r="E63" i="47"/>
  <c r="D19" i="47"/>
  <c r="F62" i="47" s="1"/>
  <c r="I33" i="47"/>
  <c r="E57" i="47" s="1"/>
  <c r="E19" i="47"/>
  <c r="F61" i="47" s="1"/>
  <c r="H33" i="47"/>
  <c r="E58" i="47" s="1"/>
  <c r="G19" i="47"/>
  <c r="F59" i="47" s="1"/>
  <c r="G33" i="47"/>
  <c r="E59" i="47" s="1"/>
  <c r="G60" i="47" s="1"/>
  <c r="J60" i="47" s="1"/>
  <c r="F19" i="47"/>
  <c r="F60" i="47" s="1"/>
  <c r="C5" i="47"/>
  <c r="L59" i="23"/>
  <c r="O13" i="27"/>
  <c r="M92" i="23" s="1"/>
  <c r="E20" i="32"/>
  <c r="L44" i="23"/>
  <c r="P12" i="27"/>
  <c r="P61" i="23"/>
  <c r="P63" i="23" s="1"/>
  <c r="P151" i="23" l="1"/>
  <c r="Q146" i="23"/>
  <c r="Q150" i="23" s="1"/>
  <c r="R142" i="23"/>
  <c r="R143" i="23"/>
  <c r="R144" i="23"/>
  <c r="R141" i="23"/>
  <c r="R159" i="23"/>
  <c r="R163" i="23" s="1"/>
  <c r="P164" i="23"/>
  <c r="Q164" i="23" s="1"/>
  <c r="M105" i="23"/>
  <c r="K59" i="23"/>
  <c r="K78" i="23"/>
  <c r="C18" i="47"/>
  <c r="C32" i="47"/>
  <c r="H63" i="47"/>
  <c r="K63" i="47" s="1"/>
  <c r="H62" i="47"/>
  <c r="K62" i="47" s="1"/>
  <c r="G62" i="47"/>
  <c r="J62" i="47" s="1"/>
  <c r="G63" i="47"/>
  <c r="J63" i="47" s="1"/>
  <c r="Q138" i="23"/>
  <c r="S52" i="23"/>
  <c r="S130" i="23"/>
  <c r="S156" i="23" s="1"/>
  <c r="S50" i="23"/>
  <c r="S128" i="23"/>
  <c r="S154" i="23" s="1"/>
  <c r="S51" i="23"/>
  <c r="S129" i="23"/>
  <c r="S155" i="23" s="1"/>
  <c r="S53" i="23"/>
  <c r="S131" i="23"/>
  <c r="S157" i="23" s="1"/>
  <c r="R133" i="23"/>
  <c r="R137" i="23" s="1"/>
  <c r="U29" i="23"/>
  <c r="T31" i="23"/>
  <c r="T69" i="23" s="1"/>
  <c r="T32" i="23"/>
  <c r="T70" i="23" s="1"/>
  <c r="T33" i="23"/>
  <c r="T71" i="23" s="1"/>
  <c r="T34" i="23"/>
  <c r="T72" i="23" s="1"/>
  <c r="T48" i="23"/>
  <c r="T67" i="23" s="1"/>
  <c r="G61" i="47"/>
  <c r="J61" i="47" s="1"/>
  <c r="H59" i="47"/>
  <c r="K59" i="47" s="1"/>
  <c r="G59" i="47"/>
  <c r="J59" i="47" s="1"/>
  <c r="H60" i="47"/>
  <c r="K60" i="47" s="1"/>
  <c r="H61" i="47"/>
  <c r="K61" i="47" s="1"/>
  <c r="G57" i="47"/>
  <c r="J57" i="47" s="1"/>
  <c r="E56" i="47"/>
  <c r="G58" i="47"/>
  <c r="J58" i="47" s="1"/>
  <c r="D32" i="47"/>
  <c r="H18" i="47"/>
  <c r="E32" i="47"/>
  <c r="F32" i="47"/>
  <c r="I18" i="47"/>
  <c r="F43" i="47" s="1"/>
  <c r="H32" i="47"/>
  <c r="E44" i="47" s="1"/>
  <c r="F18" i="47"/>
  <c r="D18" i="47"/>
  <c r="G32" i="47"/>
  <c r="E45" i="47" s="1"/>
  <c r="I32" i="47"/>
  <c r="E43" i="47" s="1"/>
  <c r="E18" i="47"/>
  <c r="G18" i="47"/>
  <c r="H57" i="47"/>
  <c r="K57" i="47" s="1"/>
  <c r="F56" i="47"/>
  <c r="H58" i="47"/>
  <c r="K58" i="47" s="1"/>
  <c r="P13" i="27"/>
  <c r="N92" i="23" s="1"/>
  <c r="O15" i="27"/>
  <c r="M40" i="23" s="1"/>
  <c r="M78" i="23" s="1"/>
  <c r="M44" i="23"/>
  <c r="Q61" i="23"/>
  <c r="Q63" i="23" s="1"/>
  <c r="Q12" i="27"/>
  <c r="Q151" i="23" l="1"/>
  <c r="R146" i="23"/>
  <c r="R150" i="23" s="1"/>
  <c r="S143" i="23"/>
  <c r="S144" i="23"/>
  <c r="S159" i="23"/>
  <c r="S163" i="23" s="1"/>
  <c r="S141" i="23"/>
  <c r="R164" i="23"/>
  <c r="S142" i="23"/>
  <c r="N105" i="23"/>
  <c r="K64" i="47"/>
  <c r="J64" i="47"/>
  <c r="T53" i="23"/>
  <c r="T131" i="23"/>
  <c r="T157" i="23" s="1"/>
  <c r="T50" i="23"/>
  <c r="T128" i="23"/>
  <c r="T154" i="23" s="1"/>
  <c r="T52" i="23"/>
  <c r="T130" i="23"/>
  <c r="T156" i="23" s="1"/>
  <c r="T51" i="23"/>
  <c r="T129" i="23"/>
  <c r="T155" i="23" s="1"/>
  <c r="S133" i="23"/>
  <c r="S137" i="23" s="1"/>
  <c r="R138" i="23"/>
  <c r="V29" i="23"/>
  <c r="U34" i="23"/>
  <c r="U72" i="23" s="1"/>
  <c r="U31" i="23"/>
  <c r="U69" i="23" s="1"/>
  <c r="U32" i="23"/>
  <c r="U70" i="23" s="1"/>
  <c r="U33" i="23"/>
  <c r="U71" i="23" s="1"/>
  <c r="U48" i="23"/>
  <c r="U67" i="23" s="1"/>
  <c r="F44" i="47"/>
  <c r="F48" i="47"/>
  <c r="F46" i="47"/>
  <c r="E47" i="47"/>
  <c r="E48" i="47"/>
  <c r="F45" i="47"/>
  <c r="E46" i="47"/>
  <c r="F49" i="47"/>
  <c r="F47" i="47"/>
  <c r="G45" i="47"/>
  <c r="J45" i="47" s="1"/>
  <c r="E49" i="47"/>
  <c r="M59" i="23"/>
  <c r="Q13" i="27"/>
  <c r="O92" i="23" s="1"/>
  <c r="P15" i="27"/>
  <c r="N40" i="23" s="1"/>
  <c r="N78" i="23" s="1"/>
  <c r="N44" i="23"/>
  <c r="R61" i="23"/>
  <c r="R63" i="23" s="1"/>
  <c r="R12" i="27"/>
  <c r="R151" i="23" l="1"/>
  <c r="S146" i="23"/>
  <c r="S150" i="23" s="1"/>
  <c r="S151" i="23" s="1"/>
  <c r="S164" i="23"/>
  <c r="T142" i="23"/>
  <c r="T143" i="23"/>
  <c r="T144" i="23"/>
  <c r="T141" i="23"/>
  <c r="O105" i="23"/>
  <c r="G47" i="47"/>
  <c r="J47" i="47" s="1"/>
  <c r="H46" i="47"/>
  <c r="K46" i="47" s="1"/>
  <c r="J65" i="47"/>
  <c r="U37" i="23" s="1"/>
  <c r="U56" i="23" s="1"/>
  <c r="G48" i="47"/>
  <c r="J48" i="47" s="1"/>
  <c r="T133" i="23"/>
  <c r="T137" i="23" s="1"/>
  <c r="U50" i="23"/>
  <c r="U128" i="23"/>
  <c r="U154" i="23" s="1"/>
  <c r="U52" i="23"/>
  <c r="U130" i="23"/>
  <c r="U156" i="23" s="1"/>
  <c r="U53" i="23"/>
  <c r="U131" i="23"/>
  <c r="U157" i="23" s="1"/>
  <c r="U51" i="23"/>
  <c r="U129" i="23"/>
  <c r="U155" i="23" s="1"/>
  <c r="S138" i="23"/>
  <c r="W29" i="23"/>
  <c r="V33" i="23"/>
  <c r="V71" i="23" s="1"/>
  <c r="V34" i="23"/>
  <c r="V72" i="23" s="1"/>
  <c r="V31" i="23"/>
  <c r="V69" i="23" s="1"/>
  <c r="V32" i="23"/>
  <c r="V70" i="23" s="1"/>
  <c r="V48" i="23"/>
  <c r="V67" i="23" s="1"/>
  <c r="G46" i="47"/>
  <c r="J46" i="47" s="1"/>
  <c r="H49" i="47"/>
  <c r="K49" i="47" s="1"/>
  <c r="H45" i="47"/>
  <c r="K45" i="47" s="1"/>
  <c r="G49" i="47"/>
  <c r="J49" i="47" s="1"/>
  <c r="E42" i="47"/>
  <c r="G43" i="47"/>
  <c r="J43" i="47" s="1"/>
  <c r="G44" i="47"/>
  <c r="J44" i="47" s="1"/>
  <c r="H47" i="47"/>
  <c r="K47" i="47" s="1"/>
  <c r="H48" i="47"/>
  <c r="K48" i="47" s="1"/>
  <c r="H43" i="47"/>
  <c r="K43" i="47" s="1"/>
  <c r="F42" i="47"/>
  <c r="H44" i="47"/>
  <c r="K44" i="47" s="1"/>
  <c r="N59" i="23"/>
  <c r="R13" i="27"/>
  <c r="P92" i="23" s="1"/>
  <c r="Q15" i="27"/>
  <c r="O40" i="23" s="1"/>
  <c r="O78" i="23" s="1"/>
  <c r="O44" i="23"/>
  <c r="S12" i="27"/>
  <c r="S61" i="23"/>
  <c r="S63" i="23" s="1"/>
  <c r="T37" i="23" l="1"/>
  <c r="T75" i="23" s="1"/>
  <c r="P37" i="23"/>
  <c r="P75" i="23" s="1"/>
  <c r="T146" i="23"/>
  <c r="T150" i="23" s="1"/>
  <c r="T151" i="23" s="1"/>
  <c r="U142" i="23"/>
  <c r="U144" i="23"/>
  <c r="U141" i="23"/>
  <c r="U143" i="23"/>
  <c r="U159" i="23"/>
  <c r="U163" i="23" s="1"/>
  <c r="T159" i="23"/>
  <c r="T163" i="23" s="1"/>
  <c r="T164" i="23" s="1"/>
  <c r="P105" i="23"/>
  <c r="U89" i="23"/>
  <c r="U115" i="23" s="1"/>
  <c r="U75" i="23"/>
  <c r="O37" i="23"/>
  <c r="S37" i="23"/>
  <c r="S89" i="23" s="1"/>
  <c r="S115" i="23" s="1"/>
  <c r="M37" i="23"/>
  <c r="V37" i="23"/>
  <c r="Q37" i="23"/>
  <c r="Q89" i="23" s="1"/>
  <c r="Q115" i="23" s="1"/>
  <c r="L37" i="23"/>
  <c r="K37" i="23"/>
  <c r="R37" i="23"/>
  <c r="N37" i="23"/>
  <c r="J37" i="23"/>
  <c r="P89" i="23"/>
  <c r="P115" i="23" s="1"/>
  <c r="V51" i="23"/>
  <c r="V129" i="23"/>
  <c r="V155" i="23" s="1"/>
  <c r="V50" i="23"/>
  <c r="V128" i="23"/>
  <c r="V154" i="23" s="1"/>
  <c r="V53" i="23"/>
  <c r="V131" i="23"/>
  <c r="V157" i="23" s="1"/>
  <c r="U133" i="23"/>
  <c r="U137" i="23" s="1"/>
  <c r="V52" i="23"/>
  <c r="V130" i="23"/>
  <c r="V156" i="23" s="1"/>
  <c r="T138" i="23"/>
  <c r="X29" i="23"/>
  <c r="W37" i="23"/>
  <c r="W75" i="23" s="1"/>
  <c r="W32" i="23"/>
  <c r="W70" i="23" s="1"/>
  <c r="W33" i="23"/>
  <c r="W71" i="23" s="1"/>
  <c r="W34" i="23"/>
  <c r="W72" i="23" s="1"/>
  <c r="W31" i="23"/>
  <c r="W69" i="23" s="1"/>
  <c r="W48" i="23"/>
  <c r="W67" i="23" s="1"/>
  <c r="K50" i="47"/>
  <c r="J50" i="47"/>
  <c r="O59" i="23"/>
  <c r="S13" i="27"/>
  <c r="Q92" i="23" s="1"/>
  <c r="R15" i="27"/>
  <c r="P40" i="23" s="1"/>
  <c r="P78" i="23" s="1"/>
  <c r="P44" i="23"/>
  <c r="T12" i="27"/>
  <c r="T61" i="23"/>
  <c r="T63" i="23" s="1"/>
  <c r="T89" i="23" l="1"/>
  <c r="T115" i="23" s="1"/>
  <c r="P56" i="23"/>
  <c r="T56" i="23"/>
  <c r="U146" i="23"/>
  <c r="U150" i="23" s="1"/>
  <c r="U151" i="23" s="1"/>
  <c r="U164" i="23"/>
  <c r="V143" i="23"/>
  <c r="V144" i="23"/>
  <c r="V142" i="23"/>
  <c r="V141" i="23"/>
  <c r="U102" i="23"/>
  <c r="P102" i="23"/>
  <c r="S102" i="23"/>
  <c r="Q105" i="23"/>
  <c r="T102" i="23"/>
  <c r="Q102" i="23"/>
  <c r="N89" i="23"/>
  <c r="N115" i="23" s="1"/>
  <c r="N75" i="23"/>
  <c r="O56" i="23"/>
  <c r="O75" i="23"/>
  <c r="R56" i="23"/>
  <c r="R75" i="23"/>
  <c r="V56" i="23"/>
  <c r="V75" i="23"/>
  <c r="K56" i="23"/>
  <c r="K75" i="23"/>
  <c r="M56" i="23"/>
  <c r="M75" i="23"/>
  <c r="Q56" i="23"/>
  <c r="Q75" i="23"/>
  <c r="J56" i="23"/>
  <c r="J75" i="23"/>
  <c r="L56" i="23"/>
  <c r="L75" i="23"/>
  <c r="S56" i="23"/>
  <c r="S75" i="23"/>
  <c r="L89" i="23"/>
  <c r="L115" i="23" s="1"/>
  <c r="O89" i="23"/>
  <c r="O115" i="23" s="1"/>
  <c r="V89" i="23"/>
  <c r="V115" i="23" s="1"/>
  <c r="K89" i="23"/>
  <c r="K115" i="23" s="1"/>
  <c r="M89" i="23"/>
  <c r="M115" i="23" s="1"/>
  <c r="R89" i="23"/>
  <c r="R115" i="23" s="1"/>
  <c r="J89" i="23"/>
  <c r="J115" i="23" s="1"/>
  <c r="N56" i="23"/>
  <c r="J51" i="47"/>
  <c r="X36" i="23" s="1"/>
  <c r="X74" i="23" s="1"/>
  <c r="U138" i="23"/>
  <c r="W52" i="23"/>
  <c r="W130" i="23"/>
  <c r="W156" i="23" s="1"/>
  <c r="W51" i="23"/>
  <c r="W129" i="23"/>
  <c r="W155" i="23" s="1"/>
  <c r="W50" i="23"/>
  <c r="W128" i="23"/>
  <c r="W154" i="23" s="1"/>
  <c r="W53" i="23"/>
  <c r="W131" i="23"/>
  <c r="W157" i="23" s="1"/>
  <c r="V133" i="23"/>
  <c r="V137" i="23" s="1"/>
  <c r="W56" i="23"/>
  <c r="W89" i="23"/>
  <c r="W115" i="23" s="1"/>
  <c r="Y29" i="23"/>
  <c r="X37" i="23"/>
  <c r="X75" i="23" s="1"/>
  <c r="X31" i="23"/>
  <c r="X69" i="23" s="1"/>
  <c r="X32" i="23"/>
  <c r="X70" i="23" s="1"/>
  <c r="X33" i="23"/>
  <c r="X71" i="23" s="1"/>
  <c r="X34" i="23"/>
  <c r="X72" i="23" s="1"/>
  <c r="X48" i="23"/>
  <c r="X67" i="23" s="1"/>
  <c r="P59" i="23"/>
  <c r="T13" i="27"/>
  <c r="R92" i="23" s="1"/>
  <c r="S15" i="27"/>
  <c r="Q40" i="23" s="1"/>
  <c r="Q78" i="23" s="1"/>
  <c r="Q44" i="23"/>
  <c r="U12" i="27"/>
  <c r="U61" i="23"/>
  <c r="U63" i="23" s="1"/>
  <c r="V159" i="23" l="1"/>
  <c r="V163" i="23" s="1"/>
  <c r="V164" i="23" s="1"/>
  <c r="W144" i="23"/>
  <c r="W141" i="23"/>
  <c r="W143" i="23"/>
  <c r="W142" i="23"/>
  <c r="V146" i="23"/>
  <c r="V150" i="23" s="1"/>
  <c r="V151" i="23" s="1"/>
  <c r="J102" i="23"/>
  <c r="W102" i="23"/>
  <c r="K102" i="23"/>
  <c r="V102" i="23"/>
  <c r="R102" i="23"/>
  <c r="O102" i="23"/>
  <c r="R105" i="23"/>
  <c r="M102" i="23"/>
  <c r="L102" i="23"/>
  <c r="N102" i="23"/>
  <c r="J36" i="23"/>
  <c r="J74" i="23" s="1"/>
  <c r="K36" i="23"/>
  <c r="K74" i="23" s="1"/>
  <c r="L36" i="23"/>
  <c r="L74" i="23" s="1"/>
  <c r="M36" i="23"/>
  <c r="M74" i="23" s="1"/>
  <c r="N36" i="23"/>
  <c r="N74" i="23" s="1"/>
  <c r="O36" i="23"/>
  <c r="O74" i="23" s="1"/>
  <c r="P36" i="23"/>
  <c r="P74" i="23" s="1"/>
  <c r="Q36" i="23"/>
  <c r="Q74" i="23" s="1"/>
  <c r="R36" i="23"/>
  <c r="R74" i="23" s="1"/>
  <c r="S36" i="23"/>
  <c r="S74" i="23" s="1"/>
  <c r="T36" i="23"/>
  <c r="T74" i="23" s="1"/>
  <c r="U36" i="23"/>
  <c r="U74" i="23" s="1"/>
  <c r="V36" i="23"/>
  <c r="V74" i="23" s="1"/>
  <c r="W36" i="23"/>
  <c r="W74" i="23" s="1"/>
  <c r="V138" i="23"/>
  <c r="X53" i="23"/>
  <c r="X131" i="23"/>
  <c r="X157" i="23" s="1"/>
  <c r="X50" i="23"/>
  <c r="X128" i="23"/>
  <c r="X154" i="23" s="1"/>
  <c r="W133" i="23"/>
  <c r="W137" i="23" s="1"/>
  <c r="X52" i="23"/>
  <c r="X130" i="23"/>
  <c r="X156" i="23" s="1"/>
  <c r="X51" i="23"/>
  <c r="X129" i="23"/>
  <c r="X155" i="23" s="1"/>
  <c r="X56" i="23"/>
  <c r="X89" i="23"/>
  <c r="X115" i="23" s="1"/>
  <c r="X55" i="23"/>
  <c r="X88" i="23"/>
  <c r="X114" i="23" s="1"/>
  <c r="Z29" i="23"/>
  <c r="Y36" i="23"/>
  <c r="Y74" i="23" s="1"/>
  <c r="Y34" i="23"/>
  <c r="Y72" i="23" s="1"/>
  <c r="Y37" i="23"/>
  <c r="Y75" i="23" s="1"/>
  <c r="Y31" i="23"/>
  <c r="Y69" i="23" s="1"/>
  <c r="Y32" i="23"/>
  <c r="Y70" i="23" s="1"/>
  <c r="Y33" i="23"/>
  <c r="Y71" i="23" s="1"/>
  <c r="Y48" i="23"/>
  <c r="Y67" i="23" s="1"/>
  <c r="Q59" i="23"/>
  <c r="U13" i="27"/>
  <c r="S92" i="23" s="1"/>
  <c r="T15" i="27"/>
  <c r="R40" i="23" s="1"/>
  <c r="R78" i="23" s="1"/>
  <c r="R44" i="23"/>
  <c r="V12" i="27"/>
  <c r="V13" i="27" s="1"/>
  <c r="T92" i="23" s="1"/>
  <c r="V61" i="23"/>
  <c r="V63" i="23" s="1"/>
  <c r="X143" i="23" l="1"/>
  <c r="W159" i="23"/>
  <c r="W163" i="23" s="1"/>
  <c r="W164" i="23" s="1"/>
  <c r="X142" i="23"/>
  <c r="X159" i="23" s="1"/>
  <c r="X163" i="23" s="1"/>
  <c r="X144" i="23"/>
  <c r="X141" i="23"/>
  <c r="W146" i="23"/>
  <c r="W150" i="23" s="1"/>
  <c r="W151" i="23" s="1"/>
  <c r="T105" i="23"/>
  <c r="S105" i="23"/>
  <c r="X101" i="23"/>
  <c r="X102" i="23"/>
  <c r="Q55" i="23"/>
  <c r="Q88" i="23"/>
  <c r="Q114" i="23" s="1"/>
  <c r="P88" i="23"/>
  <c r="P114" i="23" s="1"/>
  <c r="P55" i="23"/>
  <c r="L55" i="23"/>
  <c r="L88" i="23"/>
  <c r="L114" i="23" s="1"/>
  <c r="W55" i="23"/>
  <c r="W88" i="23"/>
  <c r="W114" i="23" s="1"/>
  <c r="S55" i="23"/>
  <c r="S88" i="23"/>
  <c r="S114" i="23" s="1"/>
  <c r="O88" i="23"/>
  <c r="O114" i="23" s="1"/>
  <c r="O55" i="23"/>
  <c r="K55" i="23"/>
  <c r="K88" i="23"/>
  <c r="K114" i="23" s="1"/>
  <c r="U88" i="23"/>
  <c r="U114" i="23" s="1"/>
  <c r="U55" i="23"/>
  <c r="M55" i="23"/>
  <c r="M88" i="23"/>
  <c r="M114" i="23" s="1"/>
  <c r="T88" i="23"/>
  <c r="T114" i="23" s="1"/>
  <c r="T55" i="23"/>
  <c r="V88" i="23"/>
  <c r="V114" i="23" s="1"/>
  <c r="V55" i="23"/>
  <c r="R55" i="23"/>
  <c r="R88" i="23"/>
  <c r="R114" i="23" s="1"/>
  <c r="N88" i="23"/>
  <c r="N114" i="23" s="1"/>
  <c r="N55" i="23"/>
  <c r="J88" i="23"/>
  <c r="J114" i="23" s="1"/>
  <c r="J55" i="23"/>
  <c r="W138" i="23"/>
  <c r="Y52" i="23"/>
  <c r="Y130" i="23"/>
  <c r="Y156" i="23" s="1"/>
  <c r="Y50" i="23"/>
  <c r="Y128" i="23"/>
  <c r="Y154" i="23" s="1"/>
  <c r="Y51" i="23"/>
  <c r="Y129" i="23"/>
  <c r="Y155" i="23" s="1"/>
  <c r="Y53" i="23"/>
  <c r="Y131" i="23"/>
  <c r="Y157" i="23" s="1"/>
  <c r="X133" i="23"/>
  <c r="X137" i="23" s="1"/>
  <c r="Y55" i="23"/>
  <c r="Y88" i="23"/>
  <c r="Y114" i="23" s="1"/>
  <c r="Y56" i="23"/>
  <c r="Y89" i="23"/>
  <c r="Y115" i="23" s="1"/>
  <c r="AA29" i="23"/>
  <c r="Z37" i="23"/>
  <c r="Z75" i="23" s="1"/>
  <c r="Z33" i="23"/>
  <c r="Z71" i="23" s="1"/>
  <c r="Z36" i="23"/>
  <c r="Z74" i="23" s="1"/>
  <c r="Z34" i="23"/>
  <c r="Z72" i="23" s="1"/>
  <c r="Z31" i="23"/>
  <c r="Z69" i="23" s="1"/>
  <c r="Z32" i="23"/>
  <c r="Z70" i="23" s="1"/>
  <c r="Z48" i="23"/>
  <c r="Z67" i="23" s="1"/>
  <c r="R59" i="23"/>
  <c r="U15" i="27"/>
  <c r="S40" i="23" s="1"/>
  <c r="S78" i="23" s="1"/>
  <c r="S44" i="23"/>
  <c r="W61" i="23"/>
  <c r="W63" i="23" s="1"/>
  <c r="V15" i="27"/>
  <c r="T40" i="23" s="1"/>
  <c r="T78" i="23" s="1"/>
  <c r="W12" i="27"/>
  <c r="X146" i="23" l="1"/>
  <c r="X150" i="23" s="1"/>
  <c r="X151" i="23" s="1"/>
  <c r="X164" i="23"/>
  <c r="Y144" i="23"/>
  <c r="Y142" i="23"/>
  <c r="Y143" i="23"/>
  <c r="Y141" i="23"/>
  <c r="Y159" i="23"/>
  <c r="Y163" i="23" s="1"/>
  <c r="P101" i="23"/>
  <c r="Y101" i="23"/>
  <c r="M101" i="23"/>
  <c r="K101" i="23"/>
  <c r="S101" i="23"/>
  <c r="L101" i="23"/>
  <c r="Q101" i="23"/>
  <c r="J101" i="23"/>
  <c r="U101" i="23"/>
  <c r="O101" i="23"/>
  <c r="N101" i="23"/>
  <c r="V101" i="23"/>
  <c r="T101" i="23"/>
  <c r="Y102" i="23"/>
  <c r="R101" i="23"/>
  <c r="W101" i="23"/>
  <c r="X138" i="23"/>
  <c r="Z53" i="23"/>
  <c r="Z131" i="23"/>
  <c r="Z157" i="23" s="1"/>
  <c r="Z52" i="23"/>
  <c r="Z130" i="23"/>
  <c r="Z156" i="23" s="1"/>
  <c r="Z51" i="23"/>
  <c r="Z129" i="23"/>
  <c r="Z155" i="23" s="1"/>
  <c r="Z50" i="23"/>
  <c r="Z128" i="23"/>
  <c r="Z154" i="23" s="1"/>
  <c r="Y133" i="23"/>
  <c r="Y137" i="23" s="1"/>
  <c r="Z56" i="23"/>
  <c r="Z89" i="23"/>
  <c r="Z115" i="23" s="1"/>
  <c r="Z55" i="23"/>
  <c r="Z88" i="23"/>
  <c r="Z114" i="23" s="1"/>
  <c r="AB29" i="23"/>
  <c r="AA36" i="23"/>
  <c r="AA74" i="23" s="1"/>
  <c r="AA37" i="23"/>
  <c r="AA75" i="23" s="1"/>
  <c r="AA32" i="23"/>
  <c r="AA70" i="23" s="1"/>
  <c r="AA33" i="23"/>
  <c r="AA71" i="23" s="1"/>
  <c r="AA34" i="23"/>
  <c r="AA72" i="23" s="1"/>
  <c r="AA31" i="23"/>
  <c r="AA69" i="23" s="1"/>
  <c r="AA48" i="23"/>
  <c r="AA67" i="23" s="1"/>
  <c r="T59" i="23"/>
  <c r="S59" i="23"/>
  <c r="W13" i="27"/>
  <c r="U92" i="23" s="1"/>
  <c r="T44" i="23"/>
  <c r="X61" i="23"/>
  <c r="X63" i="23" s="1"/>
  <c r="X12" i="27"/>
  <c r="Y146" i="23" l="1"/>
  <c r="Y150" i="23" s="1"/>
  <c r="Y151" i="23" s="1"/>
  <c r="Y164" i="23"/>
  <c r="Z141" i="23"/>
  <c r="Z143" i="23"/>
  <c r="Z142" i="23"/>
  <c r="Z144" i="23"/>
  <c r="Z102" i="23"/>
  <c r="U105" i="23"/>
  <c r="Y138" i="23"/>
  <c r="AA52" i="23"/>
  <c r="AA130" i="23"/>
  <c r="AA156" i="23" s="1"/>
  <c r="AA50" i="23"/>
  <c r="AA128" i="23"/>
  <c r="AA154" i="23" s="1"/>
  <c r="AA51" i="23"/>
  <c r="AA129" i="23"/>
  <c r="AA155" i="23" s="1"/>
  <c r="Z133" i="23"/>
  <c r="Z137" i="23" s="1"/>
  <c r="AA53" i="23"/>
  <c r="AA131" i="23"/>
  <c r="AA157" i="23" s="1"/>
  <c r="AA55" i="23"/>
  <c r="AA88" i="23"/>
  <c r="AA114" i="23" s="1"/>
  <c r="Z101" i="23"/>
  <c r="AA56" i="23"/>
  <c r="AA89" i="23"/>
  <c r="AA115" i="23" s="1"/>
  <c r="AC29" i="23"/>
  <c r="AB36" i="23"/>
  <c r="AB74" i="23" s="1"/>
  <c r="AB31" i="23"/>
  <c r="AB69" i="23" s="1"/>
  <c r="AB32" i="23"/>
  <c r="AB70" i="23" s="1"/>
  <c r="AB37" i="23"/>
  <c r="AB75" i="23" s="1"/>
  <c r="AB33" i="23"/>
  <c r="AB71" i="23" s="1"/>
  <c r="AB34" i="23"/>
  <c r="AB72" i="23" s="1"/>
  <c r="AB48" i="23"/>
  <c r="AB67" i="23" s="1"/>
  <c r="X13" i="27"/>
  <c r="V92" i="23" s="1"/>
  <c r="W15" i="27"/>
  <c r="U40" i="23" s="1"/>
  <c r="U78" i="23" s="1"/>
  <c r="U44" i="23"/>
  <c r="Y12" i="27"/>
  <c r="Y61" i="23"/>
  <c r="Y63" i="23" s="1"/>
  <c r="Z146" i="23" l="1"/>
  <c r="Z150" i="23" s="1"/>
  <c r="Z151" i="23" s="1"/>
  <c r="Z159" i="23"/>
  <c r="Z163" i="23" s="1"/>
  <c r="Z164" i="23" s="1"/>
  <c r="AA144" i="23"/>
  <c r="AA142" i="23"/>
  <c r="AA143" i="23"/>
  <c r="AA141" i="23"/>
  <c r="V105" i="23"/>
  <c r="AA101" i="23"/>
  <c r="AA102" i="23"/>
  <c r="Z138" i="23"/>
  <c r="AB52" i="23"/>
  <c r="AB130" i="23"/>
  <c r="AB156" i="23" s="1"/>
  <c r="AB53" i="23"/>
  <c r="AB131" i="23"/>
  <c r="AB157" i="23" s="1"/>
  <c r="AB51" i="23"/>
  <c r="AB129" i="23"/>
  <c r="AB155" i="23" s="1"/>
  <c r="AB50" i="23"/>
  <c r="AB128" i="23"/>
  <c r="AB154" i="23" s="1"/>
  <c r="AA133" i="23"/>
  <c r="AA137" i="23" s="1"/>
  <c r="AB55" i="23"/>
  <c r="AB88" i="23"/>
  <c r="AB114" i="23" s="1"/>
  <c r="AB56" i="23"/>
  <c r="AB89" i="23"/>
  <c r="AB115" i="23" s="1"/>
  <c r="AD29" i="23"/>
  <c r="AC34" i="23"/>
  <c r="AC72" i="23" s="1"/>
  <c r="AC31" i="23"/>
  <c r="AC69" i="23" s="1"/>
  <c r="AC36" i="23"/>
  <c r="AC74" i="23" s="1"/>
  <c r="AC32" i="23"/>
  <c r="AC70" i="23" s="1"/>
  <c r="AC37" i="23"/>
  <c r="AC75" i="23" s="1"/>
  <c r="AC33" i="23"/>
  <c r="AC71" i="23" s="1"/>
  <c r="AC48" i="23"/>
  <c r="AC67" i="23" s="1"/>
  <c r="U59" i="23"/>
  <c r="Y13" i="27"/>
  <c r="W92" i="23" s="1"/>
  <c r="X15" i="27"/>
  <c r="V40" i="23" s="1"/>
  <c r="V78" i="23" s="1"/>
  <c r="V44" i="23"/>
  <c r="Z12" i="27"/>
  <c r="Z61" i="23"/>
  <c r="Z63" i="23" s="1"/>
  <c r="AA146" i="23" l="1"/>
  <c r="AA150" i="23" s="1"/>
  <c r="AA151" i="23" s="1"/>
  <c r="AA159" i="23"/>
  <c r="AA163" i="23" s="1"/>
  <c r="AA164" i="23" s="1"/>
  <c r="AB143" i="23"/>
  <c r="AB142" i="23"/>
  <c r="AB141" i="23"/>
  <c r="AB144" i="23"/>
  <c r="W105" i="23"/>
  <c r="AB101" i="23"/>
  <c r="AB102" i="23"/>
  <c r="AA138" i="23"/>
  <c r="AC52" i="23"/>
  <c r="AC130" i="23"/>
  <c r="AC156" i="23" s="1"/>
  <c r="AC51" i="23"/>
  <c r="AC129" i="23"/>
  <c r="AC155" i="23" s="1"/>
  <c r="AC50" i="23"/>
  <c r="AC128" i="23"/>
  <c r="AC154" i="23" s="1"/>
  <c r="AB133" i="23"/>
  <c r="AB137" i="23" s="1"/>
  <c r="AC53" i="23"/>
  <c r="AC131" i="23"/>
  <c r="AC157" i="23" s="1"/>
  <c r="AC55" i="23"/>
  <c r="AC88" i="23"/>
  <c r="AC114" i="23" s="1"/>
  <c r="AC56" i="23"/>
  <c r="AC89" i="23"/>
  <c r="AC115" i="23" s="1"/>
  <c r="AE29" i="23"/>
  <c r="AD37" i="23"/>
  <c r="AD75" i="23" s="1"/>
  <c r="AD33" i="23"/>
  <c r="AD71" i="23" s="1"/>
  <c r="AD34" i="23"/>
  <c r="AD72" i="23" s="1"/>
  <c r="AD31" i="23"/>
  <c r="AD69" i="23" s="1"/>
  <c r="AD36" i="23"/>
  <c r="AD74" i="23" s="1"/>
  <c r="AD32" i="23"/>
  <c r="AD70" i="23" s="1"/>
  <c r="AD48" i="23"/>
  <c r="AD67" i="23" s="1"/>
  <c r="V59" i="23"/>
  <c r="Z13" i="27"/>
  <c r="X92" i="23" s="1"/>
  <c r="Y15" i="27"/>
  <c r="W40" i="23" s="1"/>
  <c r="W78" i="23" s="1"/>
  <c r="W44" i="23"/>
  <c r="AA12" i="27"/>
  <c r="AA61" i="23"/>
  <c r="AA63" i="23" s="1"/>
  <c r="AB146" i="23" l="1"/>
  <c r="AB150" i="23" s="1"/>
  <c r="AB151" i="23" s="1"/>
  <c r="AC144" i="23"/>
  <c r="AC141" i="23"/>
  <c r="AC143" i="23"/>
  <c r="AB159" i="23"/>
  <c r="AB163" i="23" s="1"/>
  <c r="AB164" i="23" s="1"/>
  <c r="AC142" i="23"/>
  <c r="AC102" i="23"/>
  <c r="X105" i="23"/>
  <c r="AC101" i="23"/>
  <c r="AB138" i="23"/>
  <c r="AD50" i="23"/>
  <c r="AD128" i="23"/>
  <c r="AD154" i="23" s="1"/>
  <c r="AD53" i="23"/>
  <c r="AD131" i="23"/>
  <c r="AD157" i="23" s="1"/>
  <c r="AC133" i="23"/>
  <c r="AC137" i="23" s="1"/>
  <c r="AD51" i="23"/>
  <c r="AD129" i="23"/>
  <c r="AD155" i="23" s="1"/>
  <c r="AD52" i="23"/>
  <c r="AD130" i="23"/>
  <c r="AD156" i="23" s="1"/>
  <c r="AD56" i="23"/>
  <c r="AD89" i="23"/>
  <c r="AD115" i="23" s="1"/>
  <c r="AD55" i="23"/>
  <c r="AD88" i="23"/>
  <c r="AD114" i="23" s="1"/>
  <c r="AF29" i="23"/>
  <c r="AE36" i="23"/>
  <c r="AE74" i="23" s="1"/>
  <c r="AE37" i="23"/>
  <c r="AE75" i="23" s="1"/>
  <c r="AE32" i="23"/>
  <c r="AE70" i="23" s="1"/>
  <c r="AE33" i="23"/>
  <c r="AE71" i="23" s="1"/>
  <c r="AE34" i="23"/>
  <c r="AE72" i="23" s="1"/>
  <c r="AE31" i="23"/>
  <c r="AE69" i="23" s="1"/>
  <c r="AE48" i="23"/>
  <c r="AE67" i="23" s="1"/>
  <c r="W59" i="23"/>
  <c r="Z15" i="27"/>
  <c r="X40" i="23" s="1"/>
  <c r="X78" i="23" s="1"/>
  <c r="AA13" i="27"/>
  <c r="X44" i="23"/>
  <c r="AB61" i="23"/>
  <c r="AB63" i="23" s="1"/>
  <c r="AB12" i="27"/>
  <c r="AC146" i="23" l="1"/>
  <c r="AC150" i="23" s="1"/>
  <c r="AC151" i="23" s="1"/>
  <c r="AC159" i="23"/>
  <c r="AC163" i="23" s="1"/>
  <c r="AC164" i="23" s="1"/>
  <c r="AD144" i="23"/>
  <c r="AD143" i="23"/>
  <c r="AD141" i="23"/>
  <c r="AD142" i="23"/>
  <c r="AD101" i="23"/>
  <c r="AD102" i="23"/>
  <c r="AC138" i="23"/>
  <c r="AE52" i="23"/>
  <c r="AE130" i="23"/>
  <c r="AE156" i="23" s="1"/>
  <c r="AD133" i="23"/>
  <c r="AD137" i="23" s="1"/>
  <c r="AE51" i="23"/>
  <c r="AE129" i="23"/>
  <c r="AE155" i="23" s="1"/>
  <c r="AE50" i="23"/>
  <c r="AE128" i="23"/>
  <c r="AE154" i="23" s="1"/>
  <c r="AE53" i="23"/>
  <c r="AE131" i="23"/>
  <c r="AE157" i="23" s="1"/>
  <c r="AE56" i="23"/>
  <c r="AE89" i="23"/>
  <c r="AE115" i="23" s="1"/>
  <c r="AE55" i="23"/>
  <c r="AE88" i="23"/>
  <c r="AE114" i="23" s="1"/>
  <c r="AG29" i="23"/>
  <c r="AF36" i="23"/>
  <c r="AF74" i="23" s="1"/>
  <c r="AF37" i="23"/>
  <c r="AF75" i="23" s="1"/>
  <c r="AF31" i="23"/>
  <c r="AF69" i="23" s="1"/>
  <c r="AF32" i="23"/>
  <c r="AF70" i="23" s="1"/>
  <c r="AF33" i="23"/>
  <c r="AF71" i="23" s="1"/>
  <c r="AF34" i="23"/>
  <c r="AF72" i="23" s="1"/>
  <c r="AF48" i="23"/>
  <c r="AF67" i="23" s="1"/>
  <c r="X59" i="23"/>
  <c r="AA15" i="27"/>
  <c r="Y92" i="23"/>
  <c r="AB13" i="27"/>
  <c r="Z92" i="23" s="1"/>
  <c r="Y44" i="23"/>
  <c r="AC61" i="23"/>
  <c r="AC63" i="23" s="1"/>
  <c r="AC12" i="27"/>
  <c r="AD146" i="23" l="1"/>
  <c r="AD150" i="23" s="1"/>
  <c r="AD151" i="23" s="1"/>
  <c r="AD159" i="23"/>
  <c r="AD163" i="23" s="1"/>
  <c r="AD164" i="23" s="1"/>
  <c r="AE141" i="23"/>
  <c r="AE144" i="23"/>
  <c r="AE142" i="23"/>
  <c r="AE143" i="23"/>
  <c r="Z105" i="23"/>
  <c r="Y105" i="23"/>
  <c r="AE102" i="23"/>
  <c r="AE101" i="23"/>
  <c r="Y40" i="23"/>
  <c r="AD138" i="23"/>
  <c r="AF50" i="23"/>
  <c r="AF128" i="23"/>
  <c r="AF154" i="23" s="1"/>
  <c r="AF52" i="23"/>
  <c r="AF130" i="23"/>
  <c r="AF156" i="23" s="1"/>
  <c r="AF51" i="23"/>
  <c r="AF129" i="23"/>
  <c r="AF155" i="23" s="1"/>
  <c r="AF53" i="23"/>
  <c r="AF131" i="23"/>
  <c r="AF157" i="23" s="1"/>
  <c r="AE133" i="23"/>
  <c r="AE137" i="23" s="1"/>
  <c r="AF56" i="23"/>
  <c r="AF89" i="23"/>
  <c r="AF115" i="23" s="1"/>
  <c r="AF55" i="23"/>
  <c r="AF88" i="23"/>
  <c r="AF114" i="23" s="1"/>
  <c r="AH29" i="23"/>
  <c r="AG36" i="23"/>
  <c r="AG74" i="23" s="1"/>
  <c r="AG34" i="23"/>
  <c r="AG72" i="23" s="1"/>
  <c r="AG37" i="23"/>
  <c r="AG75" i="23" s="1"/>
  <c r="AG31" i="23"/>
  <c r="AG69" i="23" s="1"/>
  <c r="AG32" i="23"/>
  <c r="AG70" i="23" s="1"/>
  <c r="AG33" i="23"/>
  <c r="AG71" i="23" s="1"/>
  <c r="AG48" i="23"/>
  <c r="AG67" i="23" s="1"/>
  <c r="AB15" i="27"/>
  <c r="Z40" i="23" s="1"/>
  <c r="Z78" i="23" s="1"/>
  <c r="AC13" i="27"/>
  <c r="Z44" i="23"/>
  <c r="AD61" i="23"/>
  <c r="AD63" i="23" s="1"/>
  <c r="AD12" i="27"/>
  <c r="AE146" i="23" l="1"/>
  <c r="AE150" i="23" s="1"/>
  <c r="AE151" i="23" s="1"/>
  <c r="AF144" i="23"/>
  <c r="AF143" i="23"/>
  <c r="AF142" i="23"/>
  <c r="AF141" i="23"/>
  <c r="AE159" i="23"/>
  <c r="AE163" i="23" s="1"/>
  <c r="AE164" i="23" s="1"/>
  <c r="AF102" i="23"/>
  <c r="AF101" i="23"/>
  <c r="Y59" i="23"/>
  <c r="Y78" i="23"/>
  <c r="AE138" i="23"/>
  <c r="AG51" i="23"/>
  <c r="AG129" i="23"/>
  <c r="AG155" i="23" s="1"/>
  <c r="AG50" i="23"/>
  <c r="AG128" i="23"/>
  <c r="AG154" i="23" s="1"/>
  <c r="AG52" i="23"/>
  <c r="AG130" i="23"/>
  <c r="AG156" i="23" s="1"/>
  <c r="AG53" i="23"/>
  <c r="AG131" i="23"/>
  <c r="AG157" i="23" s="1"/>
  <c r="AF133" i="23"/>
  <c r="AF137" i="23" s="1"/>
  <c r="AG55" i="23"/>
  <c r="AG88" i="23"/>
  <c r="AG114" i="23" s="1"/>
  <c r="AG56" i="23"/>
  <c r="AG89" i="23"/>
  <c r="AG115" i="23" s="1"/>
  <c r="AI29" i="23"/>
  <c r="AH37" i="23"/>
  <c r="AH75" i="23" s="1"/>
  <c r="AH33" i="23"/>
  <c r="AH71" i="23" s="1"/>
  <c r="AH36" i="23"/>
  <c r="AH74" i="23" s="1"/>
  <c r="AH34" i="23"/>
  <c r="AH72" i="23" s="1"/>
  <c r="AH31" i="23"/>
  <c r="AH69" i="23" s="1"/>
  <c r="AH32" i="23"/>
  <c r="AH70" i="23" s="1"/>
  <c r="AH48" i="23"/>
  <c r="AH67" i="23" s="1"/>
  <c r="AC15" i="27"/>
  <c r="AA40" i="23" s="1"/>
  <c r="AA78" i="23" s="1"/>
  <c r="AA92" i="23"/>
  <c r="Z59" i="23"/>
  <c r="AD13" i="27"/>
  <c r="AB92" i="23" s="1"/>
  <c r="AA44" i="23"/>
  <c r="AE61" i="23"/>
  <c r="AE63" i="23" s="1"/>
  <c r="AE12" i="27"/>
  <c r="AF146" i="23" l="1"/>
  <c r="AF150" i="23" s="1"/>
  <c r="AF151" i="23" s="1"/>
  <c r="AG143" i="23"/>
  <c r="AG142" i="23"/>
  <c r="AG144" i="23"/>
  <c r="AG141" i="23"/>
  <c r="AF159" i="23"/>
  <c r="AF163" i="23" s="1"/>
  <c r="AF164" i="23" s="1"/>
  <c r="AA105" i="23"/>
  <c r="AB105" i="23"/>
  <c r="AG102" i="23"/>
  <c r="AG101" i="23"/>
  <c r="AF138" i="23"/>
  <c r="AH53" i="23"/>
  <c r="AH131" i="23"/>
  <c r="AH157" i="23" s="1"/>
  <c r="AH51" i="23"/>
  <c r="AH129" i="23"/>
  <c r="AH155" i="23" s="1"/>
  <c r="AH52" i="23"/>
  <c r="AH130" i="23"/>
  <c r="AH156" i="23" s="1"/>
  <c r="AH50" i="23"/>
  <c r="AH128" i="23"/>
  <c r="AH154" i="23" s="1"/>
  <c r="AG133" i="23"/>
  <c r="AG137" i="23" s="1"/>
  <c r="AH56" i="23"/>
  <c r="AH89" i="23"/>
  <c r="AH115" i="23" s="1"/>
  <c r="AH55" i="23"/>
  <c r="AH88" i="23"/>
  <c r="AH114" i="23" s="1"/>
  <c r="AJ29" i="23"/>
  <c r="AI36" i="23"/>
  <c r="AI74" i="23" s="1"/>
  <c r="AI37" i="23"/>
  <c r="AI75" i="23" s="1"/>
  <c r="AI32" i="23"/>
  <c r="AI70" i="23" s="1"/>
  <c r="AI33" i="23"/>
  <c r="AI71" i="23" s="1"/>
  <c r="AI34" i="23"/>
  <c r="AI72" i="23" s="1"/>
  <c r="AI31" i="23"/>
  <c r="AI69" i="23" s="1"/>
  <c r="AI48" i="23"/>
  <c r="AI67" i="23" s="1"/>
  <c r="AA59" i="23"/>
  <c r="AE13" i="27"/>
  <c r="AC92" i="23" s="1"/>
  <c r="AD15" i="27"/>
  <c r="AB40" i="23" s="1"/>
  <c r="AB78" i="23" s="1"/>
  <c r="AB44" i="23"/>
  <c r="AF12" i="27"/>
  <c r="AF61" i="23"/>
  <c r="AF63" i="23" s="1"/>
  <c r="AG146" i="23" l="1"/>
  <c r="AG150" i="23" s="1"/>
  <c r="AG151" i="23" s="1"/>
  <c r="AG159" i="23"/>
  <c r="AG163" i="23" s="1"/>
  <c r="AG164" i="23" s="1"/>
  <c r="AH141" i="23"/>
  <c r="AH142" i="23"/>
  <c r="AH143" i="23"/>
  <c r="AH144" i="23"/>
  <c r="AH102" i="23"/>
  <c r="AC105" i="23"/>
  <c r="AH101" i="23"/>
  <c r="AG138" i="23"/>
  <c r="AI52" i="23"/>
  <c r="AI130" i="23"/>
  <c r="AI156" i="23" s="1"/>
  <c r="AI51" i="23"/>
  <c r="AI129" i="23"/>
  <c r="AI155" i="23" s="1"/>
  <c r="AH133" i="23"/>
  <c r="AH137" i="23" s="1"/>
  <c r="AI50" i="23"/>
  <c r="AI128" i="23"/>
  <c r="AI154" i="23" s="1"/>
  <c r="AI53" i="23"/>
  <c r="AI131" i="23"/>
  <c r="AI157" i="23" s="1"/>
  <c r="AI56" i="23"/>
  <c r="AI89" i="23"/>
  <c r="AI115" i="23" s="1"/>
  <c r="AI55" i="23"/>
  <c r="AI88" i="23"/>
  <c r="AI114" i="23" s="1"/>
  <c r="AJ36" i="23"/>
  <c r="AJ74" i="23" s="1"/>
  <c r="AJ31" i="23"/>
  <c r="AJ69" i="23" s="1"/>
  <c r="AJ32" i="23"/>
  <c r="AJ70" i="23" s="1"/>
  <c r="AJ37" i="23"/>
  <c r="AJ75" i="23" s="1"/>
  <c r="AJ33" i="23"/>
  <c r="AJ71" i="23" s="1"/>
  <c r="AJ34" i="23"/>
  <c r="AJ72" i="23" s="1"/>
  <c r="AJ48" i="23"/>
  <c r="AJ67" i="23" s="1"/>
  <c r="AK29" i="23"/>
  <c r="AL29" i="23" s="1"/>
  <c r="AB59" i="23"/>
  <c r="AE15" i="27"/>
  <c r="AC40" i="23" s="1"/>
  <c r="AC78" i="23" s="1"/>
  <c r="AF13" i="27"/>
  <c r="AC44" i="23"/>
  <c r="AG12" i="27"/>
  <c r="AG61" i="23"/>
  <c r="AG63" i="23" s="1"/>
  <c r="AH146" i="23" l="1"/>
  <c r="AH150" i="23" s="1"/>
  <c r="AH151" i="23" s="1"/>
  <c r="AH159" i="23"/>
  <c r="AH163" i="23" s="1"/>
  <c r="AH164" i="23" s="1"/>
  <c r="AI141" i="23"/>
  <c r="AI144" i="23"/>
  <c r="AI143" i="23"/>
  <c r="AI142" i="23"/>
  <c r="AI101" i="23"/>
  <c r="AI102" i="23"/>
  <c r="AH138" i="23"/>
  <c r="AM29" i="23"/>
  <c r="AL48" i="23"/>
  <c r="AL67" i="23" s="1"/>
  <c r="AL31" i="23"/>
  <c r="AL69" i="23" s="1"/>
  <c r="AL33" i="23"/>
  <c r="AL71" i="23" s="1"/>
  <c r="AL36" i="23"/>
  <c r="AL74" i="23" s="1"/>
  <c r="AL37" i="23"/>
  <c r="AL75" i="23" s="1"/>
  <c r="AL32" i="23"/>
  <c r="AL70" i="23" s="1"/>
  <c r="AL34" i="23"/>
  <c r="AL72" i="23" s="1"/>
  <c r="AJ50" i="23"/>
  <c r="AJ128" i="23"/>
  <c r="AJ154" i="23" s="1"/>
  <c r="AJ52" i="23"/>
  <c r="AJ130" i="23"/>
  <c r="AJ156" i="23" s="1"/>
  <c r="AI133" i="23"/>
  <c r="AI137" i="23" s="1"/>
  <c r="AJ53" i="23"/>
  <c r="AJ131" i="23"/>
  <c r="AJ157" i="23" s="1"/>
  <c r="AJ51" i="23"/>
  <c r="AJ129" i="23"/>
  <c r="AJ155" i="23" s="1"/>
  <c r="AJ55" i="23"/>
  <c r="AJ88" i="23"/>
  <c r="AJ114" i="23" s="1"/>
  <c r="AJ56" i="23"/>
  <c r="AJ89" i="23"/>
  <c r="AJ115" i="23" s="1"/>
  <c r="AK48" i="23"/>
  <c r="AK67" i="23" s="1"/>
  <c r="AK34" i="23"/>
  <c r="AK31" i="23"/>
  <c r="AK36" i="23"/>
  <c r="AK32" i="23"/>
  <c r="AK37" i="23"/>
  <c r="AK33" i="23"/>
  <c r="AC59" i="23"/>
  <c r="AF15" i="27"/>
  <c r="AD40" i="23" s="1"/>
  <c r="AD78" i="23" s="1"/>
  <c r="AD92" i="23"/>
  <c r="AG13" i="27"/>
  <c r="AE92" i="23" s="1"/>
  <c r="AD44" i="23"/>
  <c r="AH12" i="27"/>
  <c r="AH61" i="23"/>
  <c r="AH63" i="23" s="1"/>
  <c r="AI146" i="23" l="1"/>
  <c r="AI150" i="23" s="1"/>
  <c r="AI151" i="23" s="1"/>
  <c r="AI159" i="23"/>
  <c r="AI163" i="23" s="1"/>
  <c r="AI164" i="23" s="1"/>
  <c r="AJ144" i="23"/>
  <c r="AJ143" i="23"/>
  <c r="AJ142" i="23"/>
  <c r="AJ141" i="23"/>
  <c r="AJ102" i="23"/>
  <c r="AE105" i="23"/>
  <c r="AD105" i="23"/>
  <c r="AJ101" i="23"/>
  <c r="AK130" i="23"/>
  <c r="AK156" i="23" s="1"/>
  <c r="AK71" i="23"/>
  <c r="AK89" i="23"/>
  <c r="AK115" i="23" s="1"/>
  <c r="AK75" i="23"/>
  <c r="AK129" i="23"/>
  <c r="AK155" i="23" s="1"/>
  <c r="AK70" i="23"/>
  <c r="AK128" i="23"/>
  <c r="AK154" i="23" s="1"/>
  <c r="AK69" i="23"/>
  <c r="AK131" i="23"/>
  <c r="AK157" i="23" s="1"/>
  <c r="AK72" i="23"/>
  <c r="AK88" i="23"/>
  <c r="AK114" i="23" s="1"/>
  <c r="AK74" i="23"/>
  <c r="AI138" i="23"/>
  <c r="AL129" i="23"/>
  <c r="AL155" i="23" s="1"/>
  <c r="AL51" i="23"/>
  <c r="AL89" i="23"/>
  <c r="AL115" i="23" s="1"/>
  <c r="AL56" i="23"/>
  <c r="AL128" i="23"/>
  <c r="AL154" i="23" s="1"/>
  <c r="AL50" i="23"/>
  <c r="AL130" i="23"/>
  <c r="AL156" i="23" s="1"/>
  <c r="AL52" i="23"/>
  <c r="AL131" i="23"/>
  <c r="AL157" i="23" s="1"/>
  <c r="AL53" i="23"/>
  <c r="AL88" i="23"/>
  <c r="AL114" i="23" s="1"/>
  <c r="AL55" i="23"/>
  <c r="AM32" i="23"/>
  <c r="AM34" i="23"/>
  <c r="AM37" i="23"/>
  <c r="AM48" i="23"/>
  <c r="AM67" i="23" s="1"/>
  <c r="AM31" i="23"/>
  <c r="AM33" i="23"/>
  <c r="AM36" i="23"/>
  <c r="AJ133" i="23"/>
  <c r="AJ137" i="23" s="1"/>
  <c r="AK52" i="23"/>
  <c r="AK56" i="23"/>
  <c r="AK53" i="23"/>
  <c r="AK50" i="23"/>
  <c r="AK51" i="23"/>
  <c r="AK55" i="23"/>
  <c r="AD59" i="23"/>
  <c r="AG15" i="27"/>
  <c r="AE40" i="23" s="1"/>
  <c r="AE78" i="23" s="1"/>
  <c r="AH13" i="27"/>
  <c r="AE44" i="23"/>
  <c r="AI12" i="27"/>
  <c r="AI61" i="23"/>
  <c r="AI63" i="23" s="1"/>
  <c r="AJ146" i="23" l="1"/>
  <c r="AJ150" i="23" s="1"/>
  <c r="AJ151" i="23" s="1"/>
  <c r="AK141" i="23"/>
  <c r="AL141" i="23"/>
  <c r="AK144" i="23"/>
  <c r="AK142" i="23"/>
  <c r="AK143" i="23"/>
  <c r="AL144" i="23"/>
  <c r="AL142" i="23"/>
  <c r="AK102" i="23"/>
  <c r="AL143" i="23"/>
  <c r="AJ159" i="23"/>
  <c r="AJ163" i="23" s="1"/>
  <c r="AJ164" i="23" s="1"/>
  <c r="AK133" i="23"/>
  <c r="AK137" i="23" s="1"/>
  <c r="AK101" i="23"/>
  <c r="AL102" i="23"/>
  <c r="C34" i="23"/>
  <c r="C10" i="23" s="1"/>
  <c r="D188" i="24" s="1"/>
  <c r="AM72" i="23"/>
  <c r="C72" i="23" s="1"/>
  <c r="E10" i="23" s="1"/>
  <c r="F188" i="24" s="1"/>
  <c r="C32" i="23"/>
  <c r="C8" i="23" s="1"/>
  <c r="D191" i="24" s="1"/>
  <c r="AM70" i="23"/>
  <c r="C70" i="23" s="1"/>
  <c r="E8" i="23" s="1"/>
  <c r="F191" i="24" s="1"/>
  <c r="C33" i="23"/>
  <c r="C9" i="23" s="1"/>
  <c r="D192" i="24" s="1"/>
  <c r="AM71" i="23"/>
  <c r="C71" i="23" s="1"/>
  <c r="E9" i="23" s="1"/>
  <c r="F192" i="24" s="1"/>
  <c r="C31" i="23"/>
  <c r="C7" i="23" s="1"/>
  <c r="D190" i="24" s="1"/>
  <c r="AM69" i="23"/>
  <c r="C36" i="23"/>
  <c r="C11" i="23" s="1"/>
  <c r="D194" i="24" s="1"/>
  <c r="AM74" i="23"/>
  <c r="C74" i="23" s="1"/>
  <c r="E11" i="23" s="1"/>
  <c r="F194" i="24" s="1"/>
  <c r="C37" i="23"/>
  <c r="C12" i="23" s="1"/>
  <c r="D193" i="24" s="1"/>
  <c r="AM75" i="23"/>
  <c r="C75" i="23" s="1"/>
  <c r="E12" i="23" s="1"/>
  <c r="F193" i="24" s="1"/>
  <c r="AJ138" i="23"/>
  <c r="AM129" i="23"/>
  <c r="AM155" i="23" s="1"/>
  <c r="AM51" i="23"/>
  <c r="C51" i="23" s="1"/>
  <c r="D8" i="23" s="1"/>
  <c r="AM88" i="23"/>
  <c r="AM114" i="23" s="1"/>
  <c r="AM55" i="23"/>
  <c r="C55" i="23" s="1"/>
  <c r="D11" i="23" s="1"/>
  <c r="AM89" i="23"/>
  <c r="AM115" i="23" s="1"/>
  <c r="AM56" i="23"/>
  <c r="C56" i="23" s="1"/>
  <c r="D12" i="23" s="1"/>
  <c r="AL101" i="23"/>
  <c r="AL133" i="23"/>
  <c r="AL137" i="23" s="1"/>
  <c r="AM128" i="23"/>
  <c r="AM154" i="23" s="1"/>
  <c r="AM50" i="23"/>
  <c r="C50" i="23" s="1"/>
  <c r="D7" i="23" s="1"/>
  <c r="AM130" i="23"/>
  <c r="AM156" i="23" s="1"/>
  <c r="AM52" i="23"/>
  <c r="C52" i="23" s="1"/>
  <c r="D9" i="23" s="1"/>
  <c r="AM131" i="23"/>
  <c r="AM157" i="23" s="1"/>
  <c r="AM53" i="23"/>
  <c r="C53" i="23" s="1"/>
  <c r="D10" i="23" s="1"/>
  <c r="AE59" i="23"/>
  <c r="AH15" i="27"/>
  <c r="AF40" i="23" s="1"/>
  <c r="AF78" i="23" s="1"/>
  <c r="AF92" i="23"/>
  <c r="AI13" i="27"/>
  <c r="AG92" i="23" s="1"/>
  <c r="AF44" i="23"/>
  <c r="AJ12" i="27"/>
  <c r="E192" i="24" l="1"/>
  <c r="F11" i="24"/>
  <c r="AK138" i="23"/>
  <c r="AL138" i="23" s="1"/>
  <c r="AL146" i="23"/>
  <c r="AL150" i="23" s="1"/>
  <c r="E194" i="24"/>
  <c r="F13" i="24"/>
  <c r="E188" i="24"/>
  <c r="F7" i="24"/>
  <c r="E190" i="24"/>
  <c r="F9" i="24"/>
  <c r="E193" i="24"/>
  <c r="F12" i="24"/>
  <c r="E191" i="24"/>
  <c r="F10" i="24"/>
  <c r="AK146" i="23"/>
  <c r="AK150" i="23" s="1"/>
  <c r="AK151" i="23" s="1"/>
  <c r="AL159" i="23"/>
  <c r="AL163" i="23" s="1"/>
  <c r="AM144" i="23"/>
  <c r="C144" i="23" s="1"/>
  <c r="J10" i="23" s="1"/>
  <c r="AM141" i="23"/>
  <c r="AM142" i="23"/>
  <c r="C142" i="23" s="1"/>
  <c r="J8" i="23" s="1"/>
  <c r="AM143" i="23"/>
  <c r="AK159" i="23"/>
  <c r="AK163" i="23" s="1"/>
  <c r="AK164" i="23" s="1"/>
  <c r="C155" i="23"/>
  <c r="K8" i="23" s="1"/>
  <c r="C115" i="23"/>
  <c r="H12" i="23" s="1"/>
  <c r="C88" i="23"/>
  <c r="F11" i="23" s="1"/>
  <c r="AG105" i="23"/>
  <c r="AF105" i="23"/>
  <c r="C69" i="23"/>
  <c r="E7" i="23" s="1"/>
  <c r="F190" i="24" s="1"/>
  <c r="AM133" i="23"/>
  <c r="C131" i="23"/>
  <c r="I10" i="23" s="1"/>
  <c r="C128" i="23"/>
  <c r="I7" i="23" s="1"/>
  <c r="AM102" i="23"/>
  <c r="C102" i="23" s="1"/>
  <c r="G12" i="23" s="1"/>
  <c r="C89" i="23"/>
  <c r="F12" i="23" s="1"/>
  <c r="C130" i="23"/>
  <c r="I9" i="23" s="1"/>
  <c r="C129" i="23"/>
  <c r="I8" i="23" s="1"/>
  <c r="AM101" i="23"/>
  <c r="AF59" i="23"/>
  <c r="AI15" i="27"/>
  <c r="AG40" i="23" s="1"/>
  <c r="AG78" i="23" s="1"/>
  <c r="AJ13" i="27"/>
  <c r="AG44" i="23"/>
  <c r="AK12" i="27"/>
  <c r="AL151" i="23" l="1"/>
  <c r="AL164" i="23"/>
  <c r="C156" i="23"/>
  <c r="K9" i="23" s="1"/>
  <c r="AM159" i="23"/>
  <c r="AM163" i="23" s="1"/>
  <c r="C154" i="23"/>
  <c r="K7" i="23" s="1"/>
  <c r="C143" i="23"/>
  <c r="J9" i="23" s="1"/>
  <c r="C157" i="23"/>
  <c r="K10" i="23" s="1"/>
  <c r="C159" i="23"/>
  <c r="C114" i="23"/>
  <c r="H11" i="23" s="1"/>
  <c r="I16" i="23"/>
  <c r="AM137" i="23"/>
  <c r="C133" i="23"/>
  <c r="C101" i="23"/>
  <c r="G11" i="23" s="1"/>
  <c r="AM146" i="23"/>
  <c r="C146" i="23" s="1"/>
  <c r="C141" i="23"/>
  <c r="J7" i="23" s="1"/>
  <c r="AJ61" i="23"/>
  <c r="C61" i="23" s="1"/>
  <c r="AG59" i="23"/>
  <c r="AJ15" i="27"/>
  <c r="AH40" i="23" s="1"/>
  <c r="AH78" i="23" s="1"/>
  <c r="AH92" i="23"/>
  <c r="AK13" i="27"/>
  <c r="AI92" i="23" s="1"/>
  <c r="AH44" i="23"/>
  <c r="AL12" i="27"/>
  <c r="K16" i="23" l="1"/>
  <c r="E167" i="24" s="1"/>
  <c r="J22" i="23"/>
  <c r="K22" i="23"/>
  <c r="I21" i="23"/>
  <c r="C170" i="24" s="1"/>
  <c r="C167" i="24"/>
  <c r="K23" i="23"/>
  <c r="J16" i="23"/>
  <c r="C163" i="23"/>
  <c r="AM164" i="23"/>
  <c r="AH105" i="23"/>
  <c r="AI105" i="23"/>
  <c r="I20" i="23"/>
  <c r="C137" i="23"/>
  <c r="I22" i="23"/>
  <c r="C171" i="24" s="1"/>
  <c r="AM138" i="23"/>
  <c r="AM150" i="23"/>
  <c r="I23" i="23"/>
  <c r="C17" i="23"/>
  <c r="C34" i="24" s="1"/>
  <c r="AJ63" i="23"/>
  <c r="AH59" i="23"/>
  <c r="AK15" i="27"/>
  <c r="AI40" i="23" s="1"/>
  <c r="AI78" i="23" s="1"/>
  <c r="AL13" i="27"/>
  <c r="AI44" i="23"/>
  <c r="K20" i="23" l="1"/>
  <c r="K24" i="23" s="1"/>
  <c r="E172" i="24" s="1"/>
  <c r="K21" i="23"/>
  <c r="E170" i="24" s="1"/>
  <c r="J23" i="23"/>
  <c r="D167" i="24"/>
  <c r="J21" i="23"/>
  <c r="D170" i="24" s="1"/>
  <c r="J20" i="23"/>
  <c r="D169" i="24" s="1"/>
  <c r="I24" i="23"/>
  <c r="C172" i="24" s="1"/>
  <c r="C169" i="24"/>
  <c r="C19" i="23"/>
  <c r="C159" i="24" s="1"/>
  <c r="H44" i="24"/>
  <c r="C150" i="23"/>
  <c r="AM151" i="23"/>
  <c r="C63" i="23"/>
  <c r="D17" i="23"/>
  <c r="D19" i="23" s="1"/>
  <c r="AI59" i="23"/>
  <c r="AL15" i="27"/>
  <c r="AJ92" i="23"/>
  <c r="C118" i="23" s="1"/>
  <c r="H15" i="23" s="1"/>
  <c r="AJ44" i="23"/>
  <c r="C44" i="23" s="1"/>
  <c r="E169" i="24" l="1"/>
  <c r="J24" i="23"/>
  <c r="D172" i="24" s="1"/>
  <c r="C19" i="24"/>
  <c r="AJ40" i="23"/>
  <c r="AJ105" i="23"/>
  <c r="C105" i="23" s="1"/>
  <c r="C92" i="23"/>
  <c r="F15" i="23" s="1"/>
  <c r="C40" i="23" l="1"/>
  <c r="AJ78" i="23"/>
  <c r="C78" i="23" s="1"/>
  <c r="E15" i="23" s="1"/>
  <c r="AJ59" i="23"/>
  <c r="C59" i="23" s="1"/>
  <c r="D15" i="23" s="1"/>
  <c r="C15" i="23"/>
  <c r="G15" i="23"/>
  <c r="C82" i="5" l="1"/>
  <c r="C78" i="5"/>
  <c r="C74" i="5"/>
  <c r="C70" i="5"/>
  <c r="C66" i="5"/>
  <c r="C62" i="5"/>
  <c r="C58" i="5"/>
  <c r="C55" i="5"/>
  <c r="D52" i="5"/>
  <c r="H43" i="5"/>
  <c r="G43" i="5"/>
  <c r="F43" i="5"/>
  <c r="E43" i="5"/>
  <c r="D43" i="5"/>
  <c r="C43" i="5"/>
  <c r="H42" i="5"/>
  <c r="G42" i="5"/>
  <c r="F42" i="5"/>
  <c r="E42" i="5"/>
  <c r="D42" i="5"/>
  <c r="C42" i="5"/>
  <c r="I8" i="5"/>
  <c r="D19" i="24" l="1"/>
  <c r="D159" i="24"/>
  <c r="C56" i="5"/>
  <c r="F56" i="5" s="1"/>
  <c r="C60" i="5"/>
  <c r="C64" i="5"/>
  <c r="C68" i="5"/>
  <c r="C72" i="5"/>
  <c r="C76" i="5"/>
  <c r="C80" i="5"/>
  <c r="C84" i="5"/>
  <c r="F78" i="5"/>
  <c r="F55" i="5"/>
  <c r="C59" i="5"/>
  <c r="F59" i="5" s="1"/>
  <c r="C63" i="5"/>
  <c r="F63" i="5" s="1"/>
  <c r="C67" i="5"/>
  <c r="F67" i="5" s="1"/>
  <c r="C71" i="5"/>
  <c r="F71" i="5" s="1"/>
  <c r="C75" i="5"/>
  <c r="F75" i="5" s="1"/>
  <c r="C79" i="5"/>
  <c r="F79" i="5" s="1"/>
  <c r="C83" i="5"/>
  <c r="F83" i="5" s="1"/>
  <c r="C53" i="5"/>
  <c r="F54" i="5" s="1"/>
  <c r="C57" i="5"/>
  <c r="F57" i="5" s="1"/>
  <c r="C61" i="5"/>
  <c r="F61" i="5" s="1"/>
  <c r="C65" i="5"/>
  <c r="F65" i="5" s="1"/>
  <c r="C69" i="5"/>
  <c r="F70" i="5" s="1"/>
  <c r="C73" i="5"/>
  <c r="F73" i="5" s="1"/>
  <c r="C77" i="5"/>
  <c r="F77" i="5" s="1"/>
  <c r="C81" i="5"/>
  <c r="F81" i="5" s="1"/>
  <c r="C85" i="5"/>
  <c r="C52" i="5"/>
  <c r="F53" i="5" s="1"/>
  <c r="D53" i="5"/>
  <c r="G53" i="5" s="1"/>
  <c r="D54" i="5"/>
  <c r="G54" i="5" s="1"/>
  <c r="D55" i="5"/>
  <c r="D56" i="5"/>
  <c r="D57" i="5"/>
  <c r="D58" i="5"/>
  <c r="G58" i="5" s="1"/>
  <c r="D59" i="5"/>
  <c r="D60" i="5"/>
  <c r="G60" i="5" s="1"/>
  <c r="D61" i="5"/>
  <c r="D62" i="5"/>
  <c r="G62" i="5" s="1"/>
  <c r="D63" i="5"/>
  <c r="D64" i="5"/>
  <c r="G64" i="5" s="1"/>
  <c r="D65" i="5"/>
  <c r="D66" i="5"/>
  <c r="G66" i="5" s="1"/>
  <c r="D67" i="5"/>
  <c r="D68" i="5"/>
  <c r="G68" i="5" s="1"/>
  <c r="D69" i="5"/>
  <c r="D70" i="5"/>
  <c r="G70" i="5" s="1"/>
  <c r="D71" i="5"/>
  <c r="D72" i="5"/>
  <c r="G72" i="5" s="1"/>
  <c r="D73" i="5"/>
  <c r="D74" i="5"/>
  <c r="G74" i="5" s="1"/>
  <c r="D75" i="5"/>
  <c r="D76" i="5"/>
  <c r="G76" i="5" s="1"/>
  <c r="D77" i="5"/>
  <c r="D78" i="5"/>
  <c r="G78" i="5" s="1"/>
  <c r="D79" i="5"/>
  <c r="D80" i="5"/>
  <c r="G80" i="5" s="1"/>
  <c r="D81" i="5"/>
  <c r="D82" i="5"/>
  <c r="G82" i="5" s="1"/>
  <c r="D83" i="5"/>
  <c r="D84" i="5"/>
  <c r="G84" i="5" s="1"/>
  <c r="D85" i="5"/>
  <c r="F68" i="5" l="1"/>
  <c r="F80" i="5"/>
  <c r="F64" i="5"/>
  <c r="F74" i="5"/>
  <c r="F84" i="5"/>
  <c r="G56" i="5"/>
  <c r="F62" i="5"/>
  <c r="F76" i="5"/>
  <c r="F60" i="5"/>
  <c r="F66" i="5"/>
  <c r="F82" i="5"/>
  <c r="G83" i="5"/>
  <c r="G79" i="5"/>
  <c r="G75" i="5"/>
  <c r="G71" i="5"/>
  <c r="G67" i="5"/>
  <c r="G63" i="5"/>
  <c r="G59" i="5"/>
  <c r="G55" i="5"/>
  <c r="F85" i="5"/>
  <c r="F69" i="5"/>
  <c r="F72" i="5"/>
  <c r="F58" i="5"/>
  <c r="G85" i="5"/>
  <c r="G81" i="5"/>
  <c r="G77" i="5"/>
  <c r="G73" i="5"/>
  <c r="G69" i="5"/>
  <c r="G65" i="5"/>
  <c r="G61" i="5"/>
  <c r="G57" i="5"/>
  <c r="D102" i="11" l="1"/>
  <c r="D101" i="11"/>
  <c r="E101" i="11" s="1"/>
  <c r="G101" i="11" s="1"/>
  <c r="G100" i="11"/>
  <c r="D100" i="11"/>
  <c r="E100" i="11" s="1"/>
  <c r="E99" i="11"/>
  <c r="G99" i="11" s="1"/>
  <c r="D99" i="11"/>
  <c r="E98" i="11"/>
  <c r="G98" i="11" s="1"/>
  <c r="G95" i="11"/>
  <c r="G94" i="11"/>
  <c r="G93" i="11"/>
  <c r="G92" i="11"/>
  <c r="G91" i="11"/>
  <c r="G90" i="11"/>
  <c r="G89" i="11"/>
  <c r="G88" i="11"/>
  <c r="E86" i="11"/>
  <c r="E85" i="11"/>
  <c r="E84" i="11"/>
  <c r="E83" i="11"/>
  <c r="E82" i="11"/>
  <c r="D10" i="11"/>
  <c r="C10" i="11"/>
  <c r="D9" i="11"/>
  <c r="C9" i="11"/>
  <c r="D8" i="11"/>
  <c r="C8" i="11"/>
  <c r="D7" i="11"/>
  <c r="C7" i="11"/>
  <c r="D103" i="11" l="1"/>
  <c r="E102" i="11"/>
  <c r="G102" i="11" s="1"/>
  <c r="D104" i="11" l="1"/>
  <c r="E103" i="11"/>
  <c r="G103" i="11" s="1"/>
  <c r="E104" i="11" l="1"/>
  <c r="G104" i="11" s="1"/>
  <c r="D105" i="11"/>
  <c r="E105" i="11" l="1"/>
  <c r="G105" i="11" s="1"/>
  <c r="D106" i="11"/>
  <c r="D107" i="11" l="1"/>
  <c r="E106" i="11"/>
  <c r="G106" i="11" s="1"/>
  <c r="D108" i="11" l="1"/>
  <c r="E107" i="11"/>
  <c r="G107" i="11" s="1"/>
  <c r="E108" i="11" l="1"/>
  <c r="G108" i="11" s="1"/>
  <c r="D109" i="11"/>
  <c r="E109" i="11" l="1"/>
  <c r="G109" i="11" s="1"/>
  <c r="D110" i="11"/>
  <c r="D111" i="11" l="1"/>
  <c r="E110" i="11"/>
  <c r="G110" i="11" s="1"/>
  <c r="D112" i="11" l="1"/>
  <c r="E111" i="11"/>
  <c r="G111" i="11" s="1"/>
  <c r="E112" i="11" l="1"/>
  <c r="G112" i="11" s="1"/>
  <c r="D113" i="11"/>
  <c r="E113" i="11" l="1"/>
  <c r="G113" i="11" s="1"/>
  <c r="D114" i="11"/>
  <c r="D115" i="11" l="1"/>
  <c r="E114" i="11"/>
  <c r="G114" i="11" s="1"/>
  <c r="D116" i="11" l="1"/>
  <c r="E115" i="11"/>
  <c r="G115" i="11" s="1"/>
  <c r="E116" i="11" l="1"/>
  <c r="G116" i="11" s="1"/>
  <c r="D117" i="11"/>
  <c r="E117" i="11" l="1"/>
  <c r="G117" i="11" s="1"/>
  <c r="D118" i="11"/>
  <c r="D119" i="11" l="1"/>
  <c r="E118" i="11"/>
  <c r="G118" i="11" s="1"/>
  <c r="D120" i="11" l="1"/>
  <c r="E119" i="11"/>
  <c r="G119" i="11" s="1"/>
  <c r="E120" i="11" l="1"/>
  <c r="G120" i="11" s="1"/>
  <c r="D121" i="11"/>
  <c r="E121" i="11" l="1"/>
  <c r="G121" i="11" s="1"/>
  <c r="D122" i="11"/>
  <c r="D123" i="11" l="1"/>
  <c r="E122" i="11"/>
  <c r="G122" i="11" s="1"/>
  <c r="D124" i="11" l="1"/>
  <c r="E123" i="11"/>
  <c r="G123" i="11" s="1"/>
  <c r="E124" i="11" l="1"/>
  <c r="G124" i="11" s="1"/>
  <c r="D125" i="11"/>
  <c r="E125" i="11" l="1"/>
  <c r="G125" i="11" s="1"/>
  <c r="D126" i="11"/>
  <c r="D127" i="11" l="1"/>
  <c r="E126" i="11"/>
  <c r="G126" i="11" s="1"/>
  <c r="D128" i="11" l="1"/>
  <c r="E127" i="11"/>
  <c r="G127" i="11" s="1"/>
  <c r="E128" i="11" l="1"/>
  <c r="G128" i="11" s="1"/>
  <c r="D129" i="11"/>
  <c r="E129" i="11" l="1"/>
  <c r="G129" i="11" s="1"/>
  <c r="D130" i="11"/>
  <c r="D131" i="11" l="1"/>
  <c r="E131" i="11" s="1"/>
  <c r="G131" i="11" s="1"/>
  <c r="E130" i="11"/>
  <c r="G130" i="11" s="1"/>
  <c r="K74" i="7" l="1"/>
  <c r="K110" i="6"/>
  <c r="K97" i="6"/>
  <c r="K88" i="6"/>
  <c r="K70" i="6"/>
  <c r="G41" i="6"/>
  <c r="F41" i="6"/>
  <c r="E41" i="6"/>
  <c r="D41" i="6"/>
  <c r="C41" i="6"/>
  <c r="G40" i="6"/>
  <c r="F40" i="6"/>
  <c r="E40" i="6"/>
  <c r="D40" i="6"/>
  <c r="C40" i="6"/>
  <c r="G39" i="6"/>
  <c r="F39" i="6"/>
  <c r="E39" i="6"/>
  <c r="D39" i="6"/>
  <c r="C39" i="6"/>
  <c r="G38" i="6"/>
  <c r="F38" i="6"/>
  <c r="E38" i="6"/>
  <c r="D38" i="6"/>
  <c r="C38" i="6"/>
  <c r="G37" i="6"/>
  <c r="F37" i="6"/>
  <c r="E37" i="6"/>
  <c r="D37" i="6"/>
  <c r="C37" i="6"/>
  <c r="G36" i="6"/>
  <c r="F36" i="6"/>
  <c r="E36" i="6"/>
  <c r="D36" i="6"/>
  <c r="C36" i="6"/>
  <c r="G35" i="6"/>
  <c r="F35" i="6"/>
  <c r="E35" i="6"/>
  <c r="D35" i="6"/>
  <c r="C35" i="6"/>
  <c r="G34" i="6"/>
  <c r="F34" i="6"/>
  <c r="E34" i="6"/>
  <c r="D34" i="6"/>
  <c r="C34" i="6"/>
  <c r="G33" i="6"/>
  <c r="F33" i="6"/>
  <c r="E33" i="6"/>
  <c r="D33" i="6"/>
  <c r="C33" i="6"/>
  <c r="G32" i="6"/>
  <c r="F32" i="6"/>
  <c r="E32" i="6"/>
  <c r="D32" i="6"/>
  <c r="C32" i="6"/>
  <c r="G31" i="6"/>
  <c r="F31" i="6"/>
  <c r="E31" i="6"/>
  <c r="D31" i="6"/>
  <c r="C31" i="6"/>
  <c r="G30" i="6"/>
  <c r="F30" i="6"/>
  <c r="E30" i="6"/>
  <c r="D30" i="6"/>
  <c r="C30" i="6"/>
  <c r="G29" i="6"/>
  <c r="F29" i="6"/>
  <c r="E29" i="6"/>
  <c r="D29" i="6"/>
  <c r="C29" i="6"/>
  <c r="G28" i="6"/>
  <c r="F28" i="6"/>
  <c r="E28" i="6"/>
  <c r="D28" i="6"/>
  <c r="C28" i="6"/>
  <c r="G27" i="6"/>
  <c r="F27" i="6"/>
  <c r="E27" i="6"/>
  <c r="D27" i="6"/>
  <c r="C27" i="6"/>
  <c r="G26" i="6"/>
  <c r="F26" i="6"/>
  <c r="E26" i="6"/>
  <c r="D26" i="6"/>
  <c r="C26" i="6"/>
  <c r="G25" i="6"/>
  <c r="F25" i="6"/>
  <c r="E25" i="6"/>
  <c r="D25" i="6"/>
  <c r="C25" i="6"/>
  <c r="G24" i="6"/>
  <c r="F24" i="6"/>
  <c r="E24" i="6"/>
  <c r="D24" i="6"/>
  <c r="C24" i="6"/>
  <c r="G23" i="6"/>
  <c r="F23" i="6"/>
  <c r="E23" i="6"/>
  <c r="D23" i="6"/>
  <c r="C23" i="6"/>
  <c r="G22" i="6"/>
  <c r="F22" i="6"/>
  <c r="E22" i="6"/>
  <c r="D22" i="6"/>
  <c r="C22" i="6"/>
  <c r="G21" i="6"/>
  <c r="F21" i="6"/>
  <c r="E21" i="6"/>
  <c r="D21" i="6"/>
  <c r="C21" i="6"/>
  <c r="O333" i="9"/>
  <c r="O332" i="9"/>
  <c r="O331" i="9"/>
  <c r="O330" i="9"/>
  <c r="O329" i="9"/>
  <c r="O328" i="9"/>
  <c r="O327" i="9"/>
  <c r="O326" i="9"/>
  <c r="O325" i="9"/>
  <c r="O324" i="9"/>
  <c r="O323" i="9"/>
  <c r="O322" i="9"/>
  <c r="O321" i="9"/>
  <c r="O320" i="9"/>
  <c r="O319" i="9"/>
  <c r="O318" i="9"/>
  <c r="O317" i="9"/>
  <c r="O316" i="9"/>
  <c r="O315" i="9"/>
  <c r="O314" i="9"/>
  <c r="O313" i="9"/>
  <c r="O312" i="9"/>
  <c r="O303" i="9"/>
  <c r="O302" i="9"/>
  <c r="O301" i="9"/>
  <c r="O300" i="9"/>
  <c r="O299" i="9"/>
  <c r="O298" i="9"/>
  <c r="O297" i="9"/>
  <c r="O296" i="9"/>
  <c r="O295" i="9"/>
  <c r="O294" i="9"/>
  <c r="O293" i="9"/>
  <c r="O292" i="9"/>
  <c r="O291" i="9"/>
  <c r="O290" i="9"/>
  <c r="O289" i="9"/>
  <c r="O288" i="9"/>
  <c r="O287" i="9"/>
  <c r="O286" i="9"/>
  <c r="O285" i="9"/>
  <c r="O284" i="9"/>
  <c r="O283" i="9"/>
  <c r="O282" i="9"/>
  <c r="O273" i="9"/>
  <c r="O272" i="9"/>
  <c r="O271" i="9"/>
  <c r="O270" i="9"/>
  <c r="O269" i="9"/>
  <c r="O268" i="9"/>
  <c r="O267" i="9"/>
  <c r="O266" i="9"/>
  <c r="O265" i="9"/>
  <c r="O264" i="9"/>
  <c r="O263" i="9"/>
  <c r="O262" i="9"/>
  <c r="O261" i="9"/>
  <c r="O260" i="9"/>
  <c r="O259" i="9"/>
  <c r="O258" i="9"/>
  <c r="O257" i="9"/>
  <c r="O256" i="9"/>
  <c r="O255" i="9"/>
  <c r="O254" i="9"/>
  <c r="O253" i="9"/>
  <c r="O252" i="9"/>
  <c r="O243" i="9"/>
  <c r="O242" i="9"/>
  <c r="O241" i="9"/>
  <c r="O240" i="9"/>
  <c r="O239" i="9"/>
  <c r="O238" i="9"/>
  <c r="O237" i="9"/>
  <c r="O236" i="9"/>
  <c r="O235" i="9"/>
  <c r="O234" i="9"/>
  <c r="O233" i="9"/>
  <c r="O232" i="9"/>
  <c r="O231" i="9"/>
  <c r="O230" i="9"/>
  <c r="O229" i="9"/>
  <c r="O228" i="9"/>
  <c r="O227" i="9"/>
  <c r="O226" i="9"/>
  <c r="O225" i="9"/>
  <c r="O224" i="9"/>
  <c r="O223" i="9"/>
  <c r="O222" i="9"/>
  <c r="O213" i="9"/>
  <c r="O212" i="9"/>
  <c r="O211" i="9"/>
  <c r="O210" i="9"/>
  <c r="O209" i="9"/>
  <c r="O208" i="9"/>
  <c r="O207" i="9"/>
  <c r="O206" i="9"/>
  <c r="O205" i="9"/>
  <c r="O204" i="9"/>
  <c r="O203" i="9"/>
  <c r="O202" i="9"/>
  <c r="O201" i="9"/>
  <c r="O200" i="9"/>
  <c r="O199" i="9"/>
  <c r="O198" i="9"/>
  <c r="O197" i="9"/>
  <c r="O196" i="9"/>
  <c r="O195" i="9"/>
  <c r="O194" i="9"/>
  <c r="O193" i="9"/>
  <c r="O192" i="9"/>
  <c r="B182" i="9"/>
  <c r="B181" i="9"/>
  <c r="B180" i="9"/>
  <c r="B179" i="9"/>
  <c r="B178" i="9"/>
  <c r="P173" i="9"/>
  <c r="P172" i="9"/>
  <c r="P171" i="9"/>
  <c r="P170" i="9"/>
  <c r="P169" i="9"/>
  <c r="P168" i="9"/>
  <c r="P167" i="9"/>
  <c r="P166" i="9"/>
  <c r="P165" i="9"/>
  <c r="P164" i="9"/>
  <c r="P163" i="9"/>
  <c r="P162" i="9"/>
  <c r="P161" i="9"/>
  <c r="P160" i="9"/>
  <c r="P159" i="9"/>
  <c r="P156" i="9"/>
  <c r="Q156" i="9" s="1"/>
  <c r="P155" i="9"/>
  <c r="Q155" i="9" s="1"/>
  <c r="P154" i="9"/>
  <c r="Q154" i="9" s="1"/>
  <c r="P153" i="9"/>
  <c r="Q153" i="9" s="1"/>
  <c r="P152" i="9"/>
  <c r="Q152" i="9" s="1"/>
  <c r="P151" i="9"/>
  <c r="Q151" i="9" s="1"/>
  <c r="P150" i="9"/>
  <c r="Q150" i="9" s="1"/>
  <c r="P149" i="9"/>
  <c r="Q149" i="9" s="1"/>
  <c r="P148" i="9"/>
  <c r="Q148" i="9" s="1"/>
  <c r="P147" i="9"/>
  <c r="Q147" i="9" s="1"/>
  <c r="P146" i="9"/>
  <c r="Q146" i="9" s="1"/>
  <c r="P145" i="9"/>
  <c r="Q145" i="9" s="1"/>
  <c r="P144" i="9"/>
  <c r="Q144" i="9" s="1"/>
  <c r="P143" i="9"/>
  <c r="Q143" i="9" s="1"/>
  <c r="P142" i="9"/>
  <c r="Q142" i="9" s="1"/>
  <c r="P141" i="9"/>
  <c r="Q141" i="9" s="1"/>
  <c r="P140" i="9"/>
  <c r="Q140" i="9" s="1"/>
  <c r="P139" i="9"/>
  <c r="Q139" i="9" s="1"/>
  <c r="P138" i="9"/>
  <c r="Q138" i="9" s="1"/>
  <c r="P137" i="9"/>
  <c r="Q137" i="9" s="1"/>
  <c r="P136" i="9"/>
  <c r="Q136" i="9" s="1"/>
  <c r="P135" i="9"/>
  <c r="Q135" i="9" s="1"/>
  <c r="P134" i="9"/>
  <c r="Q134" i="9" s="1"/>
  <c r="P133" i="9"/>
  <c r="Q133" i="9" s="1"/>
  <c r="P132" i="9"/>
  <c r="Q132" i="9" s="1"/>
  <c r="P131" i="9"/>
  <c r="Q131" i="9" s="1"/>
  <c r="P130" i="9"/>
  <c r="Q130" i="9" s="1"/>
  <c r="P129" i="9"/>
  <c r="Q129" i="9" s="1"/>
  <c r="P128" i="9"/>
  <c r="Q128" i="9" s="1"/>
  <c r="P127" i="9"/>
  <c r="Q127" i="9" s="1"/>
  <c r="P126" i="9"/>
  <c r="Q126" i="9" s="1"/>
  <c r="P125" i="9"/>
  <c r="Q125" i="9" s="1"/>
  <c r="P124" i="9"/>
  <c r="Q124" i="9" s="1"/>
  <c r="P123" i="9"/>
  <c r="Q123" i="9" s="1"/>
  <c r="P122" i="9"/>
  <c r="Q122" i="9" s="1"/>
  <c r="P121" i="9"/>
  <c r="Q121" i="9" s="1"/>
  <c r="P120" i="9"/>
  <c r="Q120" i="9" s="1"/>
  <c r="P119" i="9"/>
  <c r="Q119" i="9" s="1"/>
  <c r="P118" i="9"/>
  <c r="Q118" i="9" s="1"/>
  <c r="P117" i="9"/>
  <c r="Q117" i="9" s="1"/>
  <c r="P116" i="9"/>
  <c r="Q116" i="9" s="1"/>
  <c r="P115" i="9"/>
  <c r="Q115" i="9" s="1"/>
  <c r="P114" i="9"/>
  <c r="Q114" i="9" s="1"/>
  <c r="P113" i="9"/>
  <c r="Q113" i="9" s="1"/>
  <c r="P112" i="9"/>
  <c r="Q112" i="9" s="1"/>
  <c r="P111" i="9"/>
  <c r="Q111" i="9" s="1"/>
  <c r="P110" i="9"/>
  <c r="Q110" i="9" s="1"/>
  <c r="P109" i="9"/>
  <c r="Q109" i="9" s="1"/>
  <c r="P108" i="9"/>
  <c r="S104" i="9"/>
  <c r="S103" i="9"/>
  <c r="P103" i="9"/>
  <c r="T103" i="9" s="1"/>
  <c r="S102" i="9"/>
  <c r="P102" i="9"/>
  <c r="T101" i="9"/>
  <c r="S101" i="9"/>
  <c r="P101" i="9"/>
  <c r="T102" i="9" s="1"/>
  <c r="S100" i="9"/>
  <c r="P100" i="9"/>
  <c r="T100" i="9" s="1"/>
  <c r="S99" i="9"/>
  <c r="P99" i="9"/>
  <c r="T99" i="9" s="1"/>
  <c r="S98" i="9"/>
  <c r="P98" i="9"/>
  <c r="T97" i="9"/>
  <c r="S97" i="9"/>
  <c r="P97" i="9"/>
  <c r="T98" i="9" s="1"/>
  <c r="S96" i="9"/>
  <c r="P96" i="9"/>
  <c r="T96" i="9" s="1"/>
  <c r="S95" i="9"/>
  <c r="P95" i="9"/>
  <c r="T95" i="9" s="1"/>
  <c r="S94" i="9"/>
  <c r="P94" i="9"/>
  <c r="T93" i="9"/>
  <c r="S93" i="9"/>
  <c r="P93" i="9"/>
  <c r="T94" i="9" s="1"/>
  <c r="S92" i="9"/>
  <c r="P92" i="9"/>
  <c r="T92" i="9" s="1"/>
  <c r="S91" i="9"/>
  <c r="P91" i="9"/>
  <c r="T91" i="9" s="1"/>
  <c r="S90" i="9"/>
  <c r="P90" i="9"/>
  <c r="T89" i="9"/>
  <c r="S89" i="9"/>
  <c r="P89" i="9"/>
  <c r="T90" i="9" s="1"/>
  <c r="S88" i="9"/>
  <c r="P88" i="9"/>
  <c r="T88" i="9" s="1"/>
  <c r="S87" i="9"/>
  <c r="P87" i="9"/>
  <c r="T87" i="9" s="1"/>
  <c r="S86" i="9"/>
  <c r="P86" i="9"/>
  <c r="T85" i="9"/>
  <c r="S85" i="9"/>
  <c r="P85" i="9"/>
  <c r="T86" i="9" s="1"/>
  <c r="S84" i="9"/>
  <c r="P84" i="9"/>
  <c r="T84" i="9" s="1"/>
  <c r="S83" i="9"/>
  <c r="P83" i="9"/>
  <c r="T83" i="9" s="1"/>
  <c r="S82" i="9"/>
  <c r="P82" i="9"/>
  <c r="T81" i="9"/>
  <c r="S81" i="9"/>
  <c r="P81" i="9"/>
  <c r="T82" i="9" s="1"/>
  <c r="S80" i="9"/>
  <c r="P80" i="9"/>
  <c r="T80" i="9" s="1"/>
  <c r="S79" i="9"/>
  <c r="P79" i="9"/>
  <c r="T79" i="9" s="1"/>
  <c r="S78" i="9"/>
  <c r="P78" i="9"/>
  <c r="T77" i="9"/>
  <c r="S77" i="9"/>
  <c r="P77" i="9"/>
  <c r="T78" i="9" s="1"/>
  <c r="S76" i="9"/>
  <c r="P76" i="9"/>
  <c r="T76" i="9" s="1"/>
  <c r="S75" i="9"/>
  <c r="P75" i="9"/>
  <c r="T75" i="9" s="1"/>
  <c r="S74" i="9"/>
  <c r="P74" i="9"/>
  <c r="T73" i="9"/>
  <c r="S73" i="9"/>
  <c r="P73" i="9"/>
  <c r="T74" i="9" s="1"/>
  <c r="S72" i="9"/>
  <c r="P72" i="9"/>
  <c r="T72" i="9" s="1"/>
  <c r="S71" i="9"/>
  <c r="P71" i="9"/>
  <c r="T71" i="9" s="1"/>
  <c r="S70" i="9"/>
  <c r="P70" i="9"/>
  <c r="T69" i="9"/>
  <c r="S69" i="9"/>
  <c r="P69" i="9"/>
  <c r="T70" i="9" s="1"/>
  <c r="S68" i="9"/>
  <c r="P68" i="9"/>
  <c r="T68" i="9" s="1"/>
  <c r="S67" i="9"/>
  <c r="P67" i="9"/>
  <c r="T67" i="9" s="1"/>
  <c r="S66" i="9"/>
  <c r="P66" i="9"/>
  <c r="T65" i="9"/>
  <c r="S65" i="9"/>
  <c r="P65" i="9"/>
  <c r="T66" i="9" s="1"/>
  <c r="S64" i="9"/>
  <c r="P64" i="9"/>
  <c r="T64" i="9" s="1"/>
  <c r="S63" i="9"/>
  <c r="P63" i="9"/>
  <c r="T63" i="9" s="1"/>
  <c r="S62" i="9"/>
  <c r="P62" i="9"/>
  <c r="T61" i="9"/>
  <c r="S61" i="9"/>
  <c r="P61" i="9"/>
  <c r="T62" i="9" s="1"/>
  <c r="S60" i="9"/>
  <c r="P60" i="9"/>
  <c r="T60" i="9" s="1"/>
  <c r="S59" i="9"/>
  <c r="P59" i="9"/>
  <c r="T59" i="9" s="1"/>
  <c r="S58" i="9"/>
  <c r="P58" i="9"/>
  <c r="P57" i="9"/>
  <c r="T58" i="9" s="1"/>
  <c r="AD23" i="9"/>
  <c r="AC23" i="9"/>
  <c r="AB23" i="9"/>
  <c r="AA23" i="9"/>
  <c r="Z23" i="9"/>
  <c r="Y23" i="9"/>
  <c r="X23" i="9"/>
  <c r="W23" i="9"/>
  <c r="V23" i="9"/>
  <c r="U23" i="9"/>
  <c r="T23" i="9"/>
  <c r="S23" i="9"/>
  <c r="R23" i="9"/>
  <c r="Q23" i="9"/>
  <c r="P23" i="9"/>
  <c r="O23" i="9"/>
  <c r="N23" i="9"/>
  <c r="M23" i="9"/>
  <c r="L23" i="9"/>
  <c r="K23" i="9"/>
  <c r="J23" i="9"/>
  <c r="I23" i="9"/>
  <c r="H23" i="9"/>
  <c r="G23" i="9"/>
  <c r="F23" i="9"/>
  <c r="E23" i="9"/>
  <c r="D23"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AD10" i="9"/>
  <c r="AC10" i="9"/>
  <c r="AB10" i="9"/>
  <c r="AA10" i="9"/>
  <c r="Z10" i="9"/>
  <c r="Y10" i="9"/>
  <c r="X10" i="9"/>
  <c r="W10" i="9"/>
  <c r="V10" i="9"/>
  <c r="U10" i="9"/>
  <c r="T10" i="9"/>
  <c r="S10" i="9"/>
  <c r="R10" i="9"/>
  <c r="Q10" i="9"/>
  <c r="P10" i="9"/>
  <c r="O10" i="9"/>
  <c r="N10" i="9"/>
  <c r="M10" i="9"/>
  <c r="L10" i="9"/>
  <c r="K10" i="9"/>
  <c r="J10" i="9"/>
  <c r="I10" i="9"/>
  <c r="H10" i="9"/>
  <c r="G10" i="9"/>
  <c r="F10" i="9"/>
  <c r="E10" i="9"/>
  <c r="D10" i="9"/>
  <c r="AD7" i="9"/>
  <c r="AC7" i="9"/>
  <c r="AB7" i="9"/>
  <c r="AA7" i="9"/>
  <c r="Z7" i="9"/>
  <c r="Y7" i="9"/>
  <c r="X7" i="9"/>
  <c r="W7" i="9"/>
  <c r="V7" i="9"/>
  <c r="U7" i="9"/>
  <c r="T7" i="9"/>
  <c r="S7" i="9"/>
  <c r="R7" i="9"/>
  <c r="Q7" i="9"/>
  <c r="P7" i="9"/>
  <c r="O7" i="9"/>
  <c r="N7" i="9"/>
  <c r="M7" i="9"/>
  <c r="L7" i="9"/>
  <c r="K7" i="9"/>
  <c r="J7" i="9"/>
  <c r="I7" i="9"/>
  <c r="H7" i="9"/>
  <c r="G7" i="9"/>
  <c r="F7" i="9"/>
  <c r="E7" i="9"/>
  <c r="D7" i="9"/>
  <c r="T104" i="9" l="1"/>
  <c r="H88" i="7" l="1"/>
  <c r="H87" i="7"/>
  <c r="E87" i="7"/>
  <c r="H86" i="7"/>
  <c r="H83" i="7"/>
  <c r="E83" i="7"/>
  <c r="H82" i="7"/>
  <c r="H81" i="7"/>
  <c r="E81" i="7"/>
  <c r="H78" i="7"/>
  <c r="H77" i="7"/>
  <c r="E77" i="7"/>
  <c r="H76" i="7"/>
  <c r="G88" i="7"/>
  <c r="H73" i="7"/>
  <c r="F73" i="7"/>
  <c r="H72" i="7"/>
  <c r="F72" i="7"/>
  <c r="E72" i="7"/>
  <c r="E43" i="7"/>
  <c r="F43" i="7" s="1"/>
  <c r="D43" i="7"/>
  <c r="C43" i="7"/>
  <c r="F42" i="7"/>
  <c r="F41" i="7"/>
  <c r="F40" i="7"/>
  <c r="F39" i="7"/>
  <c r="F38" i="7"/>
  <c r="D103" i="6"/>
  <c r="D106" i="6"/>
  <c r="D105" i="6"/>
  <c r="D102" i="6"/>
  <c r="D101" i="6"/>
  <c r="D100" i="6"/>
  <c r="D98" i="6"/>
  <c r="D97" i="6"/>
  <c r="F86" i="6"/>
  <c r="D86" i="6" s="1"/>
  <c r="D83" i="6"/>
  <c r="D81" i="6"/>
  <c r="D79" i="6"/>
  <c r="D70" i="6"/>
  <c r="D73" i="6" s="1"/>
  <c r="D85" i="6" s="1"/>
  <c r="D87" i="6" s="1"/>
  <c r="D88" i="6" s="1"/>
  <c r="F56" i="6"/>
  <c r="F54" i="6"/>
  <c r="E56" i="6"/>
  <c r="G56" i="6"/>
  <c r="D56" i="6"/>
  <c r="B60" i="3"/>
  <c r="K33" i="3"/>
  <c r="C42" i="3" s="1"/>
  <c r="P27" i="3"/>
  <c r="E27" i="3" s="1"/>
  <c r="F27" i="3"/>
  <c r="D27" i="3"/>
  <c r="P26" i="3"/>
  <c r="E51" i="3" s="1"/>
  <c r="O26" i="3"/>
  <c r="D51" i="3" s="1"/>
  <c r="F26" i="3"/>
  <c r="E26" i="3"/>
  <c r="D26" i="3"/>
  <c r="P25" i="3"/>
  <c r="E50" i="3" s="1"/>
  <c r="O25" i="3"/>
  <c r="D50" i="3" s="1"/>
  <c r="F25" i="3"/>
  <c r="E25" i="3"/>
  <c r="D25" i="3"/>
  <c r="P24" i="3"/>
  <c r="E49" i="3" s="1"/>
  <c r="O24" i="3"/>
  <c r="F24" i="3"/>
  <c r="E24" i="3"/>
  <c r="P23" i="3"/>
  <c r="O23" i="3"/>
  <c r="D48" i="3" s="1"/>
  <c r="F23" i="3"/>
  <c r="D23" i="3"/>
  <c r="P21" i="3"/>
  <c r="O21" i="3"/>
  <c r="F21" i="3"/>
  <c r="E21" i="3"/>
  <c r="D21" i="3"/>
  <c r="P20" i="3"/>
  <c r="E45" i="3" s="1"/>
  <c r="O20" i="3"/>
  <c r="D45" i="3" s="1"/>
  <c r="F20" i="3"/>
  <c r="E20" i="3"/>
  <c r="D20" i="3"/>
  <c r="P18" i="3"/>
  <c r="E43" i="3" s="1"/>
  <c r="O18" i="3"/>
  <c r="D43" i="3" s="1"/>
  <c r="F18" i="3"/>
  <c r="E18" i="3"/>
  <c r="P17" i="3"/>
  <c r="E17" i="3" s="1"/>
  <c r="O17" i="3"/>
  <c r="D17" i="3" s="1"/>
  <c r="F17" i="3"/>
  <c r="P15" i="3"/>
  <c r="E40" i="3" s="1"/>
  <c r="O15" i="3"/>
  <c r="D40" i="3" s="1"/>
  <c r="F15" i="3"/>
  <c r="D15" i="3"/>
  <c r="P14" i="3"/>
  <c r="O14" i="3"/>
  <c r="F14" i="3"/>
  <c r="E14" i="3"/>
  <c r="D14" i="3"/>
  <c r="P11" i="3"/>
  <c r="E36" i="3" s="1"/>
  <c r="O11" i="3"/>
  <c r="D36" i="3" s="1"/>
  <c r="F11" i="3"/>
  <c r="E11" i="3"/>
  <c r="P10" i="3"/>
  <c r="E35" i="3" s="1"/>
  <c r="O10" i="3"/>
  <c r="D35" i="3" s="1"/>
  <c r="F10" i="3"/>
  <c r="P9" i="3"/>
  <c r="E9" i="3" s="1"/>
  <c r="O9" i="3"/>
  <c r="D34" i="3" s="1"/>
  <c r="D9" i="3"/>
  <c r="E71" i="2"/>
  <c r="D71" i="2"/>
  <c r="C71" i="2"/>
  <c r="D60" i="2"/>
  <c r="D59" i="2"/>
  <c r="D58" i="2"/>
  <c r="D57" i="2"/>
  <c r="D56" i="2"/>
  <c r="D55" i="2"/>
  <c r="D54" i="2"/>
  <c r="F52" i="2"/>
  <c r="E52" i="2"/>
  <c r="F51" i="2"/>
  <c r="E51" i="2"/>
  <c r="F50" i="2"/>
  <c r="E50" i="2"/>
  <c r="F49" i="2"/>
  <c r="E49" i="2"/>
  <c r="F48" i="2"/>
  <c r="E48" i="2"/>
  <c r="F47" i="2"/>
  <c r="F60" i="2" s="1"/>
  <c r="E47" i="2"/>
  <c r="E59" i="2" s="1"/>
  <c r="D37" i="2"/>
  <c r="C37" i="2"/>
  <c r="F36" i="2"/>
  <c r="F37" i="2" s="1"/>
  <c r="F55" i="6" l="1"/>
  <c r="D108" i="6"/>
  <c r="D110" i="6" s="1"/>
  <c r="D99" i="6"/>
  <c r="E73" i="7"/>
  <c r="E76" i="7"/>
  <c r="E78" i="7"/>
  <c r="E82" i="7"/>
  <c r="E86" i="7"/>
  <c r="E88" i="7"/>
  <c r="G72" i="7"/>
  <c r="G73" i="7"/>
  <c r="F76" i="7"/>
  <c r="F77" i="7"/>
  <c r="F78" i="7"/>
  <c r="F81" i="7"/>
  <c r="F82" i="7"/>
  <c r="F83" i="7"/>
  <c r="F86" i="7"/>
  <c r="F87" i="7"/>
  <c r="F88" i="7"/>
  <c r="G71" i="7"/>
  <c r="G76" i="7"/>
  <c r="G77" i="7"/>
  <c r="G78" i="7"/>
  <c r="G81" i="7"/>
  <c r="G82" i="7"/>
  <c r="G83" i="7"/>
  <c r="G86" i="7"/>
  <c r="G87" i="7"/>
  <c r="E50" i="6"/>
  <c r="E51" i="6"/>
  <c r="E52" i="6"/>
  <c r="E53" i="6"/>
  <c r="E54" i="6"/>
  <c r="E55" i="6"/>
  <c r="F51" i="6"/>
  <c r="F53" i="6"/>
  <c r="G50" i="6"/>
  <c r="G51" i="6"/>
  <c r="G52" i="6"/>
  <c r="G53" i="6"/>
  <c r="G54" i="6"/>
  <c r="G55" i="6"/>
  <c r="F50" i="6"/>
  <c r="F52" i="6"/>
  <c r="D50" i="6"/>
  <c r="D51" i="6"/>
  <c r="D52" i="6"/>
  <c r="D53" i="6"/>
  <c r="D54" i="6"/>
  <c r="D55" i="6"/>
  <c r="D42" i="3"/>
  <c r="E42" i="3"/>
  <c r="E15" i="3"/>
  <c r="E34" i="3"/>
  <c r="C52" i="3"/>
  <c r="D10" i="3"/>
  <c r="E10" i="3"/>
  <c r="D11" i="3"/>
  <c r="D18" i="3"/>
  <c r="E23" i="3"/>
  <c r="D24" i="3"/>
  <c r="C39" i="3"/>
  <c r="C46" i="3"/>
  <c r="M33" i="3"/>
  <c r="E58" i="2"/>
  <c r="F59" i="2"/>
  <c r="C75" i="2"/>
  <c r="C79" i="2"/>
  <c r="E54" i="2"/>
  <c r="F55" i="2"/>
  <c r="E37" i="2"/>
  <c r="F71" i="2" s="1"/>
  <c r="F54" i="2"/>
  <c r="E57" i="2"/>
  <c r="F58" i="2"/>
  <c r="D75" i="2"/>
  <c r="D79" i="2"/>
  <c r="E56" i="2"/>
  <c r="F57" i="2"/>
  <c r="E60" i="2"/>
  <c r="E75" i="2"/>
  <c r="E79" i="2"/>
  <c r="E55" i="2"/>
  <c r="F56" i="2"/>
  <c r="E39" i="3" l="1"/>
  <c r="D39" i="3"/>
  <c r="E46" i="3"/>
  <c r="D46" i="3"/>
  <c r="E52" i="3"/>
  <c r="D52" i="3"/>
  <c r="F79" i="2"/>
  <c r="F75" i="2"/>
  <c r="W50" i="41" l="1"/>
  <c r="J50" i="41"/>
  <c r="AK50" i="41"/>
  <c r="AC50" i="41"/>
  <c r="AA50" i="41"/>
  <c r="Y50" i="41"/>
  <c r="O50" i="41"/>
  <c r="Q50" i="41"/>
  <c r="AH50" i="41"/>
  <c r="G50" i="41"/>
  <c r="E50" i="41"/>
  <c r="J38" i="41"/>
  <c r="U41" i="41"/>
  <c r="M50" i="41"/>
  <c r="AE50" i="41"/>
  <c r="Z50" i="41"/>
  <c r="T50" i="41"/>
  <c r="V50" i="41"/>
  <c r="R50" i="41"/>
  <c r="AM50" i="41"/>
  <c r="L50" i="41"/>
  <c r="N41" i="41"/>
  <c r="N50" i="41"/>
  <c r="Z42" i="41"/>
  <c r="O42" i="41"/>
  <c r="Z38" i="41"/>
  <c r="U50" i="41"/>
  <c r="AK38" i="41"/>
  <c r="S50" i="41"/>
  <c r="Q42" i="41"/>
  <c r="AH38" i="41"/>
  <c r="I50" i="41"/>
  <c r="AG42" i="41"/>
  <c r="I38" i="41"/>
  <c r="T41" i="41"/>
  <c r="Y38" i="41"/>
  <c r="AG41" i="41"/>
  <c r="AE41" i="41"/>
  <c r="AB50" i="41"/>
  <c r="M38" i="41"/>
  <c r="F50" i="41"/>
  <c r="E42" i="41"/>
  <c r="K50" i="41"/>
  <c r="AL38" i="41"/>
  <c r="M41" i="41"/>
  <c r="V41" i="41"/>
  <c r="S41" i="41"/>
  <c r="AC38" i="41"/>
  <c r="AA41" i="41"/>
  <c r="P41" i="41"/>
  <c r="J41" i="41"/>
  <c r="AC40" i="41"/>
  <c r="E38" i="41"/>
  <c r="P50" i="41"/>
  <c r="AI50" i="41"/>
  <c r="AK42" i="41"/>
  <c r="AL50" i="41"/>
  <c r="X50" i="41"/>
  <c r="AI41" i="41"/>
  <c r="L38" i="41"/>
  <c r="AF42" i="41"/>
  <c r="Y42" i="41"/>
  <c r="AJ50" i="41"/>
  <c r="AC42" i="41"/>
  <c r="N38" i="41"/>
  <c r="X38" i="41"/>
  <c r="AG50" i="41"/>
  <c r="G42" i="41"/>
  <c r="K40" i="41"/>
  <c r="AM42" i="41"/>
  <c r="N42" i="41"/>
  <c r="X42" i="41"/>
  <c r="W40" i="41"/>
  <c r="AF50" i="41"/>
  <c r="F41" i="41"/>
  <c r="AK41" i="41"/>
  <c r="AI42" i="41"/>
  <c r="E41" i="41"/>
  <c r="L41" i="41"/>
  <c r="AE38" i="41"/>
  <c r="AF38" i="41"/>
  <c r="AI38" i="41"/>
  <c r="J42" i="41"/>
  <c r="T38" i="41"/>
  <c r="AC41" i="41"/>
  <c r="AB42" i="41"/>
  <c r="V38" i="41"/>
  <c r="AM38" i="41"/>
  <c r="G41" i="41"/>
  <c r="H50" i="41"/>
  <c r="M39" i="41"/>
  <c r="F38" i="41"/>
  <c r="I41" i="41"/>
  <c r="AE39" i="41"/>
  <c r="O38" i="41"/>
  <c r="S40" i="41"/>
  <c r="AG38" i="41"/>
  <c r="AB38" i="41"/>
  <c r="H38" i="41"/>
  <c r="K42" i="41"/>
  <c r="AJ38" i="41"/>
  <c r="AI40" i="41"/>
  <c r="AD38" i="41"/>
  <c r="W38" i="41"/>
  <c r="AA39" i="41"/>
  <c r="L40" i="41"/>
  <c r="AD41" i="41"/>
  <c r="Q38" i="41"/>
  <c r="U38" i="41"/>
  <c r="U39" i="41"/>
  <c r="K39" i="41"/>
  <c r="R39" i="41"/>
  <c r="AE40" i="41"/>
  <c r="AH41" i="41"/>
  <c r="P42" i="41"/>
  <c r="AJ41" i="41"/>
  <c r="I39" i="41"/>
  <c r="W41" i="41"/>
  <c r="I42" i="41"/>
  <c r="AM39" i="41"/>
  <c r="E46" i="41"/>
  <c r="AJ42" i="41"/>
  <c r="O41" i="41"/>
  <c r="AB41" i="41"/>
  <c r="G40" i="41"/>
  <c r="H40" i="41"/>
  <c r="AC39" i="41"/>
  <c r="AJ40" i="41"/>
  <c r="AB40" i="41"/>
  <c r="AH42" i="41"/>
  <c r="Y39" i="41"/>
  <c r="L42" i="41"/>
  <c r="R42" i="41"/>
  <c r="Z40" i="41"/>
  <c r="N39" i="41"/>
  <c r="O39" i="41"/>
  <c r="Y41" i="41"/>
  <c r="K38" i="41"/>
  <c r="S38" i="41"/>
  <c r="AD40" i="41"/>
  <c r="AH40" i="41"/>
  <c r="M42" i="41"/>
  <c r="T42" i="41"/>
  <c r="I40" i="41"/>
  <c r="AH39" i="41"/>
  <c r="T40" i="41"/>
  <c r="Z39" i="41"/>
  <c r="AA42" i="41"/>
  <c r="J39" i="41"/>
  <c r="F42" i="41"/>
  <c r="Q41" i="41"/>
  <c r="P38" i="41"/>
  <c r="G39" i="41"/>
  <c r="K41" i="41"/>
  <c r="AD42" i="41"/>
  <c r="M40" i="41"/>
  <c r="Q39" i="41"/>
  <c r="X40" i="41"/>
  <c r="E49" i="41"/>
  <c r="F39" i="41"/>
  <c r="Y40" i="41"/>
  <c r="O40" i="41"/>
  <c r="AG39" i="41"/>
  <c r="W39" i="41"/>
  <c r="E40" i="41"/>
  <c r="X39" i="41"/>
  <c r="G38" i="41"/>
  <c r="V42" i="41"/>
  <c r="AF41" i="41"/>
  <c r="J40" i="41"/>
  <c r="S39" i="41"/>
  <c r="AB39" i="41"/>
  <c r="AD50" i="41"/>
  <c r="L39" i="41"/>
  <c r="E39" i="41"/>
  <c r="V39" i="41"/>
  <c r="U40" i="41"/>
  <c r="AJ39" i="41"/>
  <c r="U42" i="41"/>
  <c r="AL42" i="41"/>
  <c r="F40" i="41"/>
  <c r="AA40" i="41"/>
  <c r="N40" i="41"/>
  <c r="AL39" i="41"/>
  <c r="AG40" i="41"/>
  <c r="AM41" i="41"/>
  <c r="P40" i="41"/>
  <c r="AM40" i="41"/>
  <c r="AF39" i="41"/>
  <c r="R41" i="41"/>
  <c r="AK39" i="41"/>
  <c r="AD39" i="41"/>
  <c r="AE42" i="41"/>
  <c r="S42" i="41"/>
  <c r="AL41" i="41"/>
  <c r="R40" i="41"/>
  <c r="F21" i="41"/>
  <c r="G21" i="41" s="1"/>
  <c r="V40" i="41"/>
  <c r="H41" i="41"/>
  <c r="AK40" i="41"/>
  <c r="X41" i="41"/>
  <c r="AA38" i="41"/>
  <c r="T39" i="41"/>
  <c r="AI39" i="41"/>
  <c r="H39" i="41"/>
  <c r="W42" i="41"/>
  <c r="Z41" i="41"/>
  <c r="R38" i="41"/>
  <c r="F18" i="41"/>
  <c r="F46" i="41" s="1"/>
  <c r="P39" i="41"/>
  <c r="H42" i="41"/>
  <c r="Q40" i="41"/>
  <c r="AF40" i="41"/>
  <c r="AL40" i="41"/>
  <c r="G18" i="41" l="1"/>
  <c r="Q56" i="41"/>
  <c r="N56" i="41"/>
  <c r="AB55" i="41"/>
  <c r="AG55" i="41"/>
  <c r="Y56" i="41"/>
  <c r="X56" i="41"/>
  <c r="G55" i="41"/>
  <c r="F58" i="41"/>
  <c r="AA58" i="41"/>
  <c r="T56" i="41"/>
  <c r="M58" i="41"/>
  <c r="O55" i="41"/>
  <c r="R58" i="41"/>
  <c r="H56" i="41"/>
  <c r="S56" i="41"/>
  <c r="M55" i="41"/>
  <c r="W56" i="41"/>
  <c r="AM58" i="41"/>
  <c r="G58" i="41"/>
  <c r="AK58" i="41"/>
  <c r="AC56" i="41"/>
  <c r="E58" i="41"/>
  <c r="AG58" i="41"/>
  <c r="W58" i="41"/>
  <c r="H55" i="41"/>
  <c r="AF55" i="41"/>
  <c r="H58" i="41"/>
  <c r="AI55" i="41"/>
  <c r="V56" i="41"/>
  <c r="S58" i="41"/>
  <c r="F56" i="41"/>
  <c r="V58" i="41"/>
  <c r="AH55" i="41"/>
  <c r="AH56" i="41"/>
  <c r="N55" i="41"/>
  <c r="AB56" i="41"/>
  <c r="G56" i="41"/>
  <c r="P58" i="41"/>
  <c r="R55" i="41"/>
  <c r="L56" i="41"/>
  <c r="AI56" i="41"/>
  <c r="E57" i="41"/>
  <c r="X58" i="41"/>
  <c r="AF58" i="41"/>
  <c r="AF56" i="41"/>
  <c r="AD55" i="41"/>
  <c r="R56" i="41"/>
  <c r="AK55" i="41"/>
  <c r="AM56" i="41"/>
  <c r="AJ55" i="41"/>
  <c r="E55" i="41"/>
  <c r="S55" i="41"/>
  <c r="X55" i="41"/>
  <c r="M56" i="41"/>
  <c r="J55" i="41"/>
  <c r="Z55" i="41"/>
  <c r="L58" i="41"/>
  <c r="AJ56" i="41"/>
  <c r="AL56" i="41"/>
  <c r="P55" i="41"/>
  <c r="T55" i="41"/>
  <c r="AK56" i="41"/>
  <c r="AE58" i="41"/>
  <c r="P56" i="41"/>
  <c r="AG56" i="41"/>
  <c r="AL58" i="41"/>
  <c r="U56" i="41"/>
  <c r="L55" i="41"/>
  <c r="J56" i="41"/>
  <c r="E56" i="41"/>
  <c r="F55" i="41"/>
  <c r="Q55" i="41"/>
  <c r="AD58" i="41"/>
  <c r="I56" i="41"/>
  <c r="Z56" i="41"/>
  <c r="AM55" i="41"/>
  <c r="I58" i="41"/>
  <c r="AE56" i="41"/>
  <c r="K55" i="41"/>
  <c r="K58" i="41"/>
  <c r="AE55" i="41"/>
  <c r="AB58" i="41"/>
  <c r="J58" i="41"/>
  <c r="K56" i="41"/>
  <c r="Y58" i="41"/>
  <c r="O58" i="41"/>
  <c r="AA56" i="41"/>
  <c r="U58" i="41"/>
  <c r="V55" i="41"/>
  <c r="W55" i="41"/>
  <c r="O56" i="41"/>
  <c r="T58" i="41"/>
  <c r="AD56" i="41"/>
  <c r="AH58" i="41"/>
  <c r="AC55" i="41"/>
  <c r="AJ58" i="41"/>
  <c r="I55" i="41"/>
  <c r="U55" i="41"/>
  <c r="AA55" i="41"/>
  <c r="AI58" i="41"/>
  <c r="N58" i="41"/>
  <c r="AC58" i="41"/>
  <c r="Q58" i="41"/>
  <c r="Z58" i="41"/>
  <c r="AC43" i="41"/>
  <c r="Y43" i="41"/>
  <c r="AG43" i="41"/>
  <c r="G54" i="41"/>
  <c r="G46" i="41"/>
  <c r="R43" i="41"/>
  <c r="H21" i="41"/>
  <c r="H57" i="41" s="1"/>
  <c r="H18" i="41"/>
  <c r="H54" i="41" s="1"/>
  <c r="G49" i="41"/>
  <c r="AL43" i="41"/>
  <c r="Q43" i="41"/>
  <c r="AJ43" i="41"/>
  <c r="AB43" i="41"/>
  <c r="I43" i="41"/>
  <c r="AA43" i="41"/>
  <c r="F49" i="41"/>
  <c r="AL55" i="41"/>
  <c r="G43" i="41"/>
  <c r="S43" i="41"/>
  <c r="Y55" i="41"/>
  <c r="P43" i="41"/>
  <c r="K43" i="41"/>
  <c r="E51" i="41"/>
  <c r="AD43" i="41"/>
  <c r="F43" i="41"/>
  <c r="G57" i="41"/>
  <c r="F54" i="41"/>
  <c r="X43" i="41"/>
  <c r="L43" i="41"/>
  <c r="AK43" i="41"/>
  <c r="AF43" i="41"/>
  <c r="O43" i="41"/>
  <c r="V43" i="41"/>
  <c r="N43" i="41"/>
  <c r="U43" i="41"/>
  <c r="W43" i="41"/>
  <c r="H43" i="41"/>
  <c r="AM43" i="41"/>
  <c r="T43" i="41"/>
  <c r="F57" i="41"/>
  <c r="M43" i="41"/>
  <c r="AE43" i="41"/>
  <c r="E43" i="41"/>
  <c r="E54" i="41"/>
  <c r="AH43" i="41"/>
  <c r="Z43" i="41"/>
  <c r="AI43" i="41"/>
  <c r="J43" i="41"/>
  <c r="F59" i="41" l="1"/>
  <c r="G59" i="41"/>
  <c r="H59" i="41"/>
  <c r="H46" i="41"/>
  <c r="I18" i="41"/>
  <c r="G51" i="41"/>
  <c r="F51" i="41"/>
  <c r="E59" i="41"/>
  <c r="E61" i="41" s="1"/>
  <c r="H49" i="41"/>
  <c r="I21" i="41"/>
  <c r="G61" i="41" l="1"/>
  <c r="F61" i="41"/>
  <c r="I46" i="41"/>
  <c r="J18" i="41"/>
  <c r="I54" i="41"/>
  <c r="H51" i="41"/>
  <c r="H61" i="41" s="1"/>
  <c r="I49" i="41"/>
  <c r="J21" i="41"/>
  <c r="I57" i="41"/>
  <c r="I59" i="41" l="1"/>
  <c r="J49" i="41"/>
  <c r="K21" i="41"/>
  <c r="J57" i="41"/>
  <c r="J46" i="41"/>
  <c r="K18" i="41"/>
  <c r="J54" i="41"/>
  <c r="I51" i="41"/>
  <c r="I61" i="41" l="1"/>
  <c r="E106" i="23"/>
  <c r="E93" i="23"/>
  <c r="E45" i="23"/>
  <c r="F45" i="23"/>
  <c r="F106" i="23"/>
  <c r="F110" i="23" s="1"/>
  <c r="F93" i="23"/>
  <c r="F97" i="23" s="1"/>
  <c r="J59" i="41"/>
  <c r="K46" i="41"/>
  <c r="L18" i="41"/>
  <c r="K54" i="41"/>
  <c r="J51" i="41"/>
  <c r="J61" i="41" s="1"/>
  <c r="K49" i="41"/>
  <c r="L21" i="41"/>
  <c r="K57" i="41"/>
  <c r="E97" i="23" l="1"/>
  <c r="E110" i="23"/>
  <c r="E111" i="23" s="1"/>
  <c r="F111" i="23" s="1"/>
  <c r="G45" i="23"/>
  <c r="G93" i="23"/>
  <c r="G97" i="23" s="1"/>
  <c r="E46" i="23"/>
  <c r="F46" i="23" s="1"/>
  <c r="K51" i="41"/>
  <c r="L49" i="41"/>
  <c r="L57" i="41"/>
  <c r="M21" i="41"/>
  <c r="K59" i="41"/>
  <c r="L46" i="41"/>
  <c r="M18" i="41"/>
  <c r="L54" i="41"/>
  <c r="E98" i="23" l="1"/>
  <c r="F98" i="23" s="1"/>
  <c r="G98" i="23" s="1"/>
  <c r="K61" i="41"/>
  <c r="G46" i="23"/>
  <c r="H106" i="23"/>
  <c r="H110" i="23" s="1"/>
  <c r="H93" i="23"/>
  <c r="H97" i="23" s="1"/>
  <c r="G106" i="23"/>
  <c r="H45" i="23"/>
  <c r="L51" i="41"/>
  <c r="L59" i="41"/>
  <c r="M46" i="41"/>
  <c r="M54" i="41"/>
  <c r="N18" i="41"/>
  <c r="M49" i="41"/>
  <c r="N21" i="41"/>
  <c r="M57" i="41"/>
  <c r="G110" i="23" l="1"/>
  <c r="L61" i="41"/>
  <c r="H98" i="23"/>
  <c r="I93" i="23"/>
  <c r="I97" i="23" s="1"/>
  <c r="H46" i="23"/>
  <c r="I45" i="23"/>
  <c r="M59" i="41"/>
  <c r="N49" i="41"/>
  <c r="O21" i="41"/>
  <c r="N57" i="41"/>
  <c r="M51" i="41"/>
  <c r="N46" i="41"/>
  <c r="O18" i="41"/>
  <c r="N54" i="41"/>
  <c r="G111" i="23" l="1"/>
  <c r="H111" i="23" s="1"/>
  <c r="M61" i="41"/>
  <c r="I98" i="23"/>
  <c r="I106" i="23"/>
  <c r="I46" i="23"/>
  <c r="N59" i="41"/>
  <c r="O49" i="41"/>
  <c r="P21" i="41"/>
  <c r="O57" i="41"/>
  <c r="O46" i="41"/>
  <c r="O54" i="41"/>
  <c r="P18" i="41"/>
  <c r="N51" i="41"/>
  <c r="I110" i="23" l="1"/>
  <c r="I111" i="23" s="1"/>
  <c r="N61" i="41"/>
  <c r="O59" i="41"/>
  <c r="O51" i="41"/>
  <c r="P49" i="41"/>
  <c r="Q21" i="41"/>
  <c r="P57" i="41"/>
  <c r="P46" i="41"/>
  <c r="Q18" i="41"/>
  <c r="P54" i="41"/>
  <c r="O61" i="41" l="1"/>
  <c r="P59" i="41"/>
  <c r="P51" i="41"/>
  <c r="Q46" i="41"/>
  <c r="R18" i="41"/>
  <c r="Q54" i="41"/>
  <c r="Q49" i="41"/>
  <c r="R21" i="41"/>
  <c r="Q57" i="41"/>
  <c r="P61" i="41" l="1"/>
  <c r="Q51" i="41"/>
  <c r="Q59" i="41"/>
  <c r="R49" i="41"/>
  <c r="S21" i="41"/>
  <c r="R57" i="41"/>
  <c r="R46" i="41"/>
  <c r="S18" i="41"/>
  <c r="R54" i="41"/>
  <c r="Q61" i="41" l="1"/>
  <c r="R59" i="41"/>
  <c r="S49" i="41"/>
  <c r="S57" i="41"/>
  <c r="T21" i="41"/>
  <c r="S46" i="41"/>
  <c r="T18" i="41"/>
  <c r="S54" i="41"/>
  <c r="R51" i="41"/>
  <c r="R61" i="41" l="1"/>
  <c r="S59" i="41"/>
  <c r="S51" i="41"/>
  <c r="T57" i="41"/>
  <c r="U21" i="41"/>
  <c r="T49" i="41"/>
  <c r="T46" i="41"/>
  <c r="U18" i="41"/>
  <c r="T54" i="41"/>
  <c r="S61" i="41" l="1"/>
  <c r="U49" i="41"/>
  <c r="V21" i="41"/>
  <c r="U57" i="41"/>
  <c r="T59" i="41"/>
  <c r="T51" i="41"/>
  <c r="U46" i="41"/>
  <c r="V18" i="41"/>
  <c r="U54" i="41"/>
  <c r="T61" i="41" l="1"/>
  <c r="V46" i="41"/>
  <c r="V54" i="41"/>
  <c r="W18" i="41"/>
  <c r="U51" i="41"/>
  <c r="V49" i="41"/>
  <c r="W21" i="41"/>
  <c r="V57" i="41"/>
  <c r="U59" i="41"/>
  <c r="U61" i="41" l="1"/>
  <c r="X18" i="41"/>
  <c r="W46" i="41"/>
  <c r="W54" i="41"/>
  <c r="W49" i="41"/>
  <c r="X21" i="41"/>
  <c r="W57" i="41"/>
  <c r="V59" i="41"/>
  <c r="V51" i="41"/>
  <c r="V61" i="41" l="1"/>
  <c r="W51" i="41"/>
  <c r="X49" i="41"/>
  <c r="Y21" i="41"/>
  <c r="X57" i="41"/>
  <c r="X46" i="41"/>
  <c r="Y18" i="41"/>
  <c r="X54" i="41"/>
  <c r="W59" i="41"/>
  <c r="W61" i="41" l="1"/>
  <c r="Y46" i="41"/>
  <c r="Y54" i="41"/>
  <c r="Z18" i="41"/>
  <c r="X51" i="41"/>
  <c r="Y49" i="41"/>
  <c r="Y57" i="41"/>
  <c r="Z21" i="41"/>
  <c r="X59" i="41"/>
  <c r="X61" i="41" l="1"/>
  <c r="Y59" i="41"/>
  <c r="Y51" i="41"/>
  <c r="Z49" i="41"/>
  <c r="Z57" i="41"/>
  <c r="AA21" i="41"/>
  <c r="Z54" i="41"/>
  <c r="Z46" i="41"/>
  <c r="AA18" i="41"/>
  <c r="Y61" i="41" l="1"/>
  <c r="AB18" i="41"/>
  <c r="AA46" i="41"/>
  <c r="AA54" i="41"/>
  <c r="Z59" i="41"/>
  <c r="Z51" i="41"/>
  <c r="AA49" i="41"/>
  <c r="AA57" i="41"/>
  <c r="AB21" i="41"/>
  <c r="Z61" i="41" l="1"/>
  <c r="AB46" i="41"/>
  <c r="AC18" i="41"/>
  <c r="AB54" i="41"/>
  <c r="AA59" i="41"/>
  <c r="AB49" i="41"/>
  <c r="AB57" i="41"/>
  <c r="AC21" i="41"/>
  <c r="AA51" i="41"/>
  <c r="AA61" i="41" s="1"/>
  <c r="AB59" i="41" l="1"/>
  <c r="AC49" i="41"/>
  <c r="AC57" i="41"/>
  <c r="AD21" i="41"/>
  <c r="AC46" i="41"/>
  <c r="AC54" i="41"/>
  <c r="AD18" i="41"/>
  <c r="AB51" i="41"/>
  <c r="AB61" i="41" l="1"/>
  <c r="AC59" i="41"/>
  <c r="AD46" i="41"/>
  <c r="AD54" i="41"/>
  <c r="AE18" i="41"/>
  <c r="AC51" i="41"/>
  <c r="AD49" i="41"/>
  <c r="AE21" i="41"/>
  <c r="AD57" i="41"/>
  <c r="AC61" i="41" l="1"/>
  <c r="AE46" i="41"/>
  <c r="AF18" i="41"/>
  <c r="AE54" i="41"/>
  <c r="AD51" i="41"/>
  <c r="AE57" i="41"/>
  <c r="AF21" i="41"/>
  <c r="AE49" i="41"/>
  <c r="AD59" i="41"/>
  <c r="AD61" i="41" l="1"/>
  <c r="AF49" i="41"/>
  <c r="AG21" i="41"/>
  <c r="AF57" i="41"/>
  <c r="AE51" i="41"/>
  <c r="AE59" i="41"/>
  <c r="AF46" i="41"/>
  <c r="AG18" i="41"/>
  <c r="AF54" i="41"/>
  <c r="AE61" i="41" l="1"/>
  <c r="AG49" i="41"/>
  <c r="AH21" i="41"/>
  <c r="AG57" i="41"/>
  <c r="AF51" i="41"/>
  <c r="AF59" i="41"/>
  <c r="AG46" i="41"/>
  <c r="AH18" i="41"/>
  <c r="AG54" i="41"/>
  <c r="AF61" i="41" l="1"/>
  <c r="AH46" i="41"/>
  <c r="AH54" i="41"/>
  <c r="AI18" i="41"/>
  <c r="AG59" i="41"/>
  <c r="AG51" i="41"/>
  <c r="AH49" i="41"/>
  <c r="AI21" i="41"/>
  <c r="AH57" i="41"/>
  <c r="AG61" i="41" l="1"/>
  <c r="AH59" i="41"/>
  <c r="AH51" i="41"/>
  <c r="AI49" i="41"/>
  <c r="AJ21" i="41"/>
  <c r="AI57" i="41"/>
  <c r="AI54" i="41"/>
  <c r="AI46" i="41"/>
  <c r="AJ18" i="41"/>
  <c r="AH61" i="41" l="1"/>
  <c r="AI51" i="41"/>
  <c r="AJ49" i="41"/>
  <c r="AK21" i="41"/>
  <c r="AJ57" i="41"/>
  <c r="AI59" i="41"/>
  <c r="AJ46" i="41"/>
  <c r="AK18" i="41"/>
  <c r="AJ54" i="41"/>
  <c r="AI61" i="41" l="1"/>
  <c r="AJ59" i="41"/>
  <c r="AJ51" i="41"/>
  <c r="AK46" i="41"/>
  <c r="AL18" i="41"/>
  <c r="AK54" i="41"/>
  <c r="AK49" i="41"/>
  <c r="AL21" i="41"/>
  <c r="AK57" i="41"/>
  <c r="AJ61" i="41" l="1"/>
  <c r="AL46" i="41"/>
  <c r="AM18" i="41"/>
  <c r="AN18" i="41" s="1"/>
  <c r="AL54" i="41"/>
  <c r="AL49" i="41"/>
  <c r="AM21" i="41"/>
  <c r="AN21" i="41" s="1"/>
  <c r="AL57" i="41"/>
  <c r="AK51" i="41"/>
  <c r="AK59" i="41"/>
  <c r="AN57" i="41" l="1"/>
  <c r="AN49" i="41"/>
  <c r="AN46" i="41"/>
  <c r="AN54" i="41"/>
  <c r="AN59" i="41" s="1"/>
  <c r="AK61" i="41"/>
  <c r="AM46" i="41"/>
  <c r="AM54" i="41"/>
  <c r="AL59" i="41"/>
  <c r="AL51" i="41"/>
  <c r="AM49" i="41"/>
  <c r="AM57" i="41"/>
  <c r="AN51" i="41" l="1"/>
  <c r="AN61" i="41" s="1"/>
  <c r="AL61" i="41"/>
  <c r="AM59" i="41"/>
  <c r="AM51" i="41"/>
  <c r="AM61" i="41" l="1"/>
  <c r="D61" i="41" s="1"/>
  <c r="C7" i="47" l="1"/>
  <c r="F14" i="23"/>
  <c r="C34" i="47" l="1"/>
  <c r="C20" i="47"/>
  <c r="D34" i="47"/>
  <c r="F34" i="47"/>
  <c r="G20" i="47"/>
  <c r="I20" i="47"/>
  <c r="G34" i="47"/>
  <c r="E73" i="47" s="1"/>
  <c r="I34" i="47"/>
  <c r="F77" i="47"/>
  <c r="E34" i="47"/>
  <c r="E35" i="47" s="1"/>
  <c r="H20" i="47"/>
  <c r="F72" i="47" s="1"/>
  <c r="F20" i="47"/>
  <c r="E77" i="47"/>
  <c r="D20" i="47"/>
  <c r="F76" i="47" s="1"/>
  <c r="H34" i="47"/>
  <c r="E72" i="47" s="1"/>
  <c r="E20" i="47"/>
  <c r="C21" i="47"/>
  <c r="G14" i="23"/>
  <c r="H77" i="47" l="1"/>
  <c r="K77" i="47" s="1"/>
  <c r="G35" i="47"/>
  <c r="D21" i="47"/>
  <c r="E75" i="47"/>
  <c r="F73" i="47"/>
  <c r="G21" i="47"/>
  <c r="F71" i="47"/>
  <c r="I21" i="47"/>
  <c r="C35" i="47"/>
  <c r="F75" i="47"/>
  <c r="H76" i="47" s="1"/>
  <c r="K76" i="47" s="1"/>
  <c r="E21" i="47"/>
  <c r="F21" i="47"/>
  <c r="F74" i="47"/>
  <c r="E71" i="47"/>
  <c r="I35" i="47"/>
  <c r="E74" i="47"/>
  <c r="G74" i="47" s="1"/>
  <c r="J74" i="47" s="1"/>
  <c r="F35" i="47"/>
  <c r="H35" i="47"/>
  <c r="G73" i="47"/>
  <c r="J73" i="47" s="1"/>
  <c r="H21" i="47"/>
  <c r="H73" i="47"/>
  <c r="K73" i="47" s="1"/>
  <c r="E76" i="47"/>
  <c r="G77" i="47" s="1"/>
  <c r="J77" i="47" s="1"/>
  <c r="D35" i="47"/>
  <c r="G76" i="47" l="1"/>
  <c r="J76" i="47" s="1"/>
  <c r="G75" i="47"/>
  <c r="J75" i="47" s="1"/>
  <c r="H75" i="47"/>
  <c r="K75" i="47" s="1"/>
  <c r="F70" i="47"/>
  <c r="H72" i="47"/>
  <c r="K72" i="47" s="1"/>
  <c r="H71" i="47"/>
  <c r="K71" i="47" s="1"/>
  <c r="G72" i="47"/>
  <c r="J72" i="47" s="1"/>
  <c r="G71" i="47"/>
  <c r="J71" i="47" s="1"/>
  <c r="E70" i="47"/>
  <c r="H74" i="47"/>
  <c r="K74" i="47" s="1"/>
  <c r="J78" i="47" l="1"/>
  <c r="K78" i="47"/>
  <c r="J79" i="47" l="1"/>
  <c r="AM38" i="23" s="1"/>
  <c r="AM76" i="23" s="1"/>
  <c r="AC38" i="23"/>
  <c r="K38" i="23" l="1"/>
  <c r="K41" i="23" s="1"/>
  <c r="K45" i="23" s="1"/>
  <c r="AD38" i="23"/>
  <c r="AD41" i="23" s="1"/>
  <c r="AD45" i="23" s="1"/>
  <c r="Y38" i="23"/>
  <c r="Y90" i="23" s="1"/>
  <c r="Y103" i="23" s="1"/>
  <c r="Y106" i="23" s="1"/>
  <c r="Y110" i="23" s="1"/>
  <c r="AJ38" i="23"/>
  <c r="AJ90" i="23" s="1"/>
  <c r="AJ103" i="23" s="1"/>
  <c r="AJ106" i="23" s="1"/>
  <c r="AJ110" i="23" s="1"/>
  <c r="AI38" i="23"/>
  <c r="AI57" i="23" s="1"/>
  <c r="AI60" i="23" s="1"/>
  <c r="AI64" i="23" s="1"/>
  <c r="T38" i="23"/>
  <c r="T57" i="23" s="1"/>
  <c r="T60" i="23" s="1"/>
  <c r="T64" i="23" s="1"/>
  <c r="AE38" i="23"/>
  <c r="AE41" i="23" s="1"/>
  <c r="AE45" i="23" s="1"/>
  <c r="R38" i="23"/>
  <c r="R57" i="23" s="1"/>
  <c r="R60" i="23" s="1"/>
  <c r="R64" i="23" s="1"/>
  <c r="AL38" i="23"/>
  <c r="AL76" i="23" s="1"/>
  <c r="AL79" i="23" s="1"/>
  <c r="AL83" i="23" s="1"/>
  <c r="O38" i="23"/>
  <c r="O41" i="23" s="1"/>
  <c r="O45" i="23" s="1"/>
  <c r="Z38" i="23"/>
  <c r="Z76" i="23" s="1"/>
  <c r="Z79" i="23" s="1"/>
  <c r="Z83" i="23" s="1"/>
  <c r="AF38" i="23"/>
  <c r="AF57" i="23" s="1"/>
  <c r="AF60" i="23" s="1"/>
  <c r="AF64" i="23" s="1"/>
  <c r="AD76" i="23"/>
  <c r="AD79" i="23" s="1"/>
  <c r="AD83" i="23" s="1"/>
  <c r="K90" i="23"/>
  <c r="K76" i="23"/>
  <c r="K79" i="23" s="1"/>
  <c r="K83" i="23" s="1"/>
  <c r="AC41" i="23"/>
  <c r="AC45" i="23" s="1"/>
  <c r="AC76" i="23"/>
  <c r="AC79" i="23" s="1"/>
  <c r="AC83" i="23" s="1"/>
  <c r="AM79" i="23"/>
  <c r="AM83" i="23" s="1"/>
  <c r="U38" i="23"/>
  <c r="P38" i="23"/>
  <c r="P76" i="23" s="1"/>
  <c r="P79" i="23" s="1"/>
  <c r="P83" i="23" s="1"/>
  <c r="AI90" i="23"/>
  <c r="AC57" i="23"/>
  <c r="AC60" i="23" s="1"/>
  <c r="AC64" i="23" s="1"/>
  <c r="AC90" i="23"/>
  <c r="AC116" i="23" s="1"/>
  <c r="J38" i="23"/>
  <c r="J57" i="23" s="1"/>
  <c r="J60" i="23" s="1"/>
  <c r="J64" i="23" s="1"/>
  <c r="V38" i="23"/>
  <c r="V90" i="23" s="1"/>
  <c r="V116" i="23" s="1"/>
  <c r="S38" i="23"/>
  <c r="S90" i="23" s="1"/>
  <c r="AK38" i="23"/>
  <c r="Q38" i="23"/>
  <c r="AB38" i="23"/>
  <c r="L38" i="23"/>
  <c r="W38" i="23"/>
  <c r="W41" i="23" s="1"/>
  <c r="W45" i="23" s="1"/>
  <c r="AA38" i="23"/>
  <c r="AA76" i="23" s="1"/>
  <c r="AA79" i="23" s="1"/>
  <c r="AA83" i="23" s="1"/>
  <c r="N38" i="23"/>
  <c r="N76" i="23" s="1"/>
  <c r="N79" i="23" s="1"/>
  <c r="N83" i="23" s="1"/>
  <c r="AH38" i="23"/>
  <c r="AH76" i="23" s="1"/>
  <c r="AH79" i="23" s="1"/>
  <c r="AH83" i="23" s="1"/>
  <c r="AG38" i="23"/>
  <c r="M38" i="23"/>
  <c r="X38" i="23"/>
  <c r="L90" i="23"/>
  <c r="L116" i="23" s="1"/>
  <c r="AK41" i="23"/>
  <c r="AK45" i="23" s="1"/>
  <c r="K57" i="23"/>
  <c r="K60" i="23" s="1"/>
  <c r="K64" i="23" s="1"/>
  <c r="AM57" i="23"/>
  <c r="AM60" i="23" s="1"/>
  <c r="AM64" i="23" s="1"/>
  <c r="AM41" i="23"/>
  <c r="AM45" i="23" s="1"/>
  <c r="AM90" i="23"/>
  <c r="Y41" i="23" l="1"/>
  <c r="Y45" i="23" s="1"/>
  <c r="AJ57" i="23"/>
  <c r="AJ60" i="23" s="1"/>
  <c r="AJ64" i="23" s="1"/>
  <c r="Y57" i="23"/>
  <c r="Y60" i="23" s="1"/>
  <c r="Y64" i="23" s="1"/>
  <c r="AJ76" i="23"/>
  <c r="AJ79" i="23" s="1"/>
  <c r="AJ83" i="23" s="1"/>
  <c r="Y76" i="23"/>
  <c r="Y79" i="23" s="1"/>
  <c r="Y83" i="23" s="1"/>
  <c r="R41" i="23"/>
  <c r="R45" i="23" s="1"/>
  <c r="AJ41" i="23"/>
  <c r="AJ45" i="23" s="1"/>
  <c r="T41" i="23"/>
  <c r="T45" i="23" s="1"/>
  <c r="AD90" i="23"/>
  <c r="AD116" i="23" s="1"/>
  <c r="AI41" i="23"/>
  <c r="AI45" i="23" s="1"/>
  <c r="AD57" i="23"/>
  <c r="AD60" i="23" s="1"/>
  <c r="AD64" i="23" s="1"/>
  <c r="AI76" i="23"/>
  <c r="AI79" i="23" s="1"/>
  <c r="AI83" i="23" s="1"/>
  <c r="T76" i="23"/>
  <c r="T79" i="23" s="1"/>
  <c r="T83" i="23" s="1"/>
  <c r="O90" i="23"/>
  <c r="O116" i="23" s="1"/>
  <c r="T90" i="23"/>
  <c r="T93" i="23" s="1"/>
  <c r="T97" i="23" s="1"/>
  <c r="O76" i="23"/>
  <c r="O79" i="23" s="1"/>
  <c r="O83" i="23" s="1"/>
  <c r="O57" i="23"/>
  <c r="O60" i="23" s="1"/>
  <c r="O64" i="23" s="1"/>
  <c r="O103" i="23"/>
  <c r="O106" i="23" s="1"/>
  <c r="O110" i="23" s="1"/>
  <c r="AE90" i="23"/>
  <c r="AE116" i="23" s="1"/>
  <c r="AE119" i="23" s="1"/>
  <c r="AE123" i="23" s="1"/>
  <c r="AE76" i="23"/>
  <c r="AE79" i="23" s="1"/>
  <c r="AE83" i="23" s="1"/>
  <c r="AE57" i="23"/>
  <c r="AE60" i="23" s="1"/>
  <c r="AE64" i="23" s="1"/>
  <c r="AL57" i="23"/>
  <c r="AL60" i="23" s="1"/>
  <c r="AL64" i="23" s="1"/>
  <c r="R90" i="23"/>
  <c r="R103" i="23" s="1"/>
  <c r="R106" i="23" s="1"/>
  <c r="R110" i="23" s="1"/>
  <c r="R76" i="23"/>
  <c r="R79" i="23" s="1"/>
  <c r="R83" i="23" s="1"/>
  <c r="AF41" i="23"/>
  <c r="AF45" i="23" s="1"/>
  <c r="AL90" i="23"/>
  <c r="AL103" i="23" s="1"/>
  <c r="AL106" i="23" s="1"/>
  <c r="AL110" i="23" s="1"/>
  <c r="AF76" i="23"/>
  <c r="AF79" i="23" s="1"/>
  <c r="AF83" i="23" s="1"/>
  <c r="AL41" i="23"/>
  <c r="AL45" i="23" s="1"/>
  <c r="AF90" i="23"/>
  <c r="AF93" i="23" s="1"/>
  <c r="AF97" i="23" s="1"/>
  <c r="Z90" i="23"/>
  <c r="Z103" i="23" s="1"/>
  <c r="Z106" i="23" s="1"/>
  <c r="Z110" i="23" s="1"/>
  <c r="Z57" i="23"/>
  <c r="Z60" i="23" s="1"/>
  <c r="Z64" i="23" s="1"/>
  <c r="AJ93" i="23"/>
  <c r="AJ97" i="23" s="1"/>
  <c r="AA41" i="23"/>
  <c r="AA45" i="23" s="1"/>
  <c r="Z41" i="23"/>
  <c r="Z45" i="23" s="1"/>
  <c r="S116" i="23"/>
  <c r="S119" i="23" s="1"/>
  <c r="S123" i="23" s="1"/>
  <c r="S103" i="23"/>
  <c r="S106" i="23" s="1"/>
  <c r="S110" i="23" s="1"/>
  <c r="AI103" i="23"/>
  <c r="AI106" i="23" s="1"/>
  <c r="AI110" i="23" s="1"/>
  <c r="AI116" i="23"/>
  <c r="AI119" i="23" s="1"/>
  <c r="AI123" i="23" s="1"/>
  <c r="K116" i="23"/>
  <c r="K119" i="23" s="1"/>
  <c r="K123" i="23" s="1"/>
  <c r="Z116" i="23"/>
  <c r="Z119" i="23" s="1"/>
  <c r="Z123" i="23" s="1"/>
  <c r="AM116" i="23"/>
  <c r="AM119" i="23" s="1"/>
  <c r="AM123" i="23" s="1"/>
  <c r="AJ116" i="23"/>
  <c r="AJ119" i="23" s="1"/>
  <c r="AJ123" i="23" s="1"/>
  <c r="AL116" i="23"/>
  <c r="AL119" i="23" s="1"/>
  <c r="AL123" i="23" s="1"/>
  <c r="Y116" i="23"/>
  <c r="Y119" i="23" s="1"/>
  <c r="Y123" i="23" s="1"/>
  <c r="Y93" i="23"/>
  <c r="Y97" i="23" s="1"/>
  <c r="K93" i="23"/>
  <c r="K97" i="23" s="1"/>
  <c r="Z93" i="23"/>
  <c r="Z97" i="23" s="1"/>
  <c r="K103" i="23"/>
  <c r="K106" i="23" s="1"/>
  <c r="K110" i="23" s="1"/>
  <c r="P90" i="23"/>
  <c r="V103" i="23"/>
  <c r="V106" i="23" s="1"/>
  <c r="V110" i="23" s="1"/>
  <c r="V119" i="23"/>
  <c r="V123" i="23" s="1"/>
  <c r="T103" i="23"/>
  <c r="T106" i="23" s="1"/>
  <c r="T110" i="23" s="1"/>
  <c r="AD119" i="23"/>
  <c r="AD123" i="23" s="1"/>
  <c r="AI93" i="23"/>
  <c r="AI97" i="23" s="1"/>
  <c r="AC103" i="23"/>
  <c r="AC106" i="23" s="1"/>
  <c r="AC110" i="23" s="1"/>
  <c r="AC119" i="23"/>
  <c r="AC123" i="23" s="1"/>
  <c r="O119" i="23"/>
  <c r="O123" i="23" s="1"/>
  <c r="S93" i="23"/>
  <c r="S97" i="23" s="1"/>
  <c r="L103" i="23"/>
  <c r="L106" i="23" s="1"/>
  <c r="L110" i="23" s="1"/>
  <c r="L119" i="23"/>
  <c r="L123" i="23" s="1"/>
  <c r="S41" i="23"/>
  <c r="S45" i="23" s="1"/>
  <c r="S76" i="23"/>
  <c r="S79" i="23" s="1"/>
  <c r="S83" i="23" s="1"/>
  <c r="U41" i="23"/>
  <c r="U45" i="23" s="1"/>
  <c r="U76" i="23"/>
  <c r="U79" i="23" s="1"/>
  <c r="U83" i="23" s="1"/>
  <c r="AB57" i="23"/>
  <c r="AB60" i="23" s="1"/>
  <c r="AB64" i="23" s="1"/>
  <c r="AB76" i="23"/>
  <c r="AB79" i="23" s="1"/>
  <c r="AB83" i="23" s="1"/>
  <c r="V41" i="23"/>
  <c r="V45" i="23" s="1"/>
  <c r="V76" i="23"/>
  <c r="V79" i="23" s="1"/>
  <c r="V83" i="23" s="1"/>
  <c r="X90" i="23"/>
  <c r="X76" i="23"/>
  <c r="X79" i="23" s="1"/>
  <c r="X83" i="23" s="1"/>
  <c r="M90" i="23"/>
  <c r="M116" i="23" s="1"/>
  <c r="M76" i="23"/>
  <c r="M79" i="23" s="1"/>
  <c r="M83" i="23" s="1"/>
  <c r="Q41" i="23"/>
  <c r="Q45" i="23" s="1"/>
  <c r="Q76" i="23"/>
  <c r="Q79" i="23" s="1"/>
  <c r="Q83" i="23" s="1"/>
  <c r="J90" i="23"/>
  <c r="J76" i="23"/>
  <c r="U57" i="23"/>
  <c r="U60" i="23" s="1"/>
  <c r="U64" i="23" s="1"/>
  <c r="L41" i="23"/>
  <c r="L45" i="23" s="1"/>
  <c r="L76" i="23"/>
  <c r="L79" i="23" s="1"/>
  <c r="L83" i="23" s="1"/>
  <c r="U90" i="23"/>
  <c r="AG41" i="23"/>
  <c r="AG45" i="23" s="1"/>
  <c r="AG76" i="23"/>
  <c r="AG79" i="23" s="1"/>
  <c r="AG83" i="23" s="1"/>
  <c r="W57" i="23"/>
  <c r="W60" i="23" s="1"/>
  <c r="W64" i="23" s="1"/>
  <c r="W76" i="23"/>
  <c r="W79" i="23" s="1"/>
  <c r="W83" i="23" s="1"/>
  <c r="AK57" i="23"/>
  <c r="AK60" i="23" s="1"/>
  <c r="AK64" i="23" s="1"/>
  <c r="AK76" i="23"/>
  <c r="AK79" i="23" s="1"/>
  <c r="AK83" i="23" s="1"/>
  <c r="W90" i="23"/>
  <c r="AC93" i="23"/>
  <c r="AC97" i="23" s="1"/>
  <c r="P57" i="23"/>
  <c r="P60" i="23" s="1"/>
  <c r="P64" i="23" s="1"/>
  <c r="P41" i="23"/>
  <c r="P45" i="23" s="1"/>
  <c r="C38" i="23"/>
  <c r="C13" i="23" s="1"/>
  <c r="L93" i="23"/>
  <c r="L97" i="23" s="1"/>
  <c r="X57" i="23"/>
  <c r="X60" i="23" s="1"/>
  <c r="X64" i="23" s="1"/>
  <c r="AB90" i="23"/>
  <c r="AB116" i="23" s="1"/>
  <c r="S57" i="23"/>
  <c r="S60" i="23" s="1"/>
  <c r="S64" i="23" s="1"/>
  <c r="L57" i="23"/>
  <c r="L60" i="23" s="1"/>
  <c r="L64" i="23" s="1"/>
  <c r="N57" i="23"/>
  <c r="N60" i="23" s="1"/>
  <c r="N64" i="23" s="1"/>
  <c r="N41" i="23"/>
  <c r="N45" i="23" s="1"/>
  <c r="X41" i="23"/>
  <c r="X45" i="23" s="1"/>
  <c r="N90" i="23"/>
  <c r="V57" i="23"/>
  <c r="V60" i="23" s="1"/>
  <c r="V64" i="23" s="1"/>
  <c r="AA90" i="23"/>
  <c r="AA57" i="23"/>
  <c r="AA60" i="23" s="1"/>
  <c r="AA64" i="23" s="1"/>
  <c r="J41" i="23"/>
  <c r="J45" i="23" s="1"/>
  <c r="AG57" i="23"/>
  <c r="AG60" i="23" s="1"/>
  <c r="AG64" i="23" s="1"/>
  <c r="AG90" i="23"/>
  <c r="M41" i="23"/>
  <c r="M45" i="23" s="1"/>
  <c r="M57" i="23"/>
  <c r="M60" i="23" s="1"/>
  <c r="M64" i="23" s="1"/>
  <c r="Q57" i="23"/>
  <c r="Q60" i="23" s="1"/>
  <c r="Q64" i="23" s="1"/>
  <c r="AK90" i="23"/>
  <c r="AB41" i="23"/>
  <c r="AB45" i="23" s="1"/>
  <c r="Q90" i="23"/>
  <c r="AH90" i="23"/>
  <c r="AH57" i="23"/>
  <c r="AH60" i="23" s="1"/>
  <c r="AH64" i="23" s="1"/>
  <c r="AH41" i="23"/>
  <c r="AH45" i="23" s="1"/>
  <c r="V93" i="23"/>
  <c r="V97" i="23" s="1"/>
  <c r="AM93" i="23"/>
  <c r="AM97" i="23" s="1"/>
  <c r="AM103" i="23"/>
  <c r="AM106" i="23" s="1"/>
  <c r="AM110" i="23" s="1"/>
  <c r="J65" i="23"/>
  <c r="K65" i="23" s="1"/>
  <c r="AE103" i="23" l="1"/>
  <c r="AE106" i="23" s="1"/>
  <c r="AE110" i="23" s="1"/>
  <c r="AE93" i="23"/>
  <c r="AE97" i="23" s="1"/>
  <c r="T116" i="23"/>
  <c r="T119" i="23" s="1"/>
  <c r="T123" i="23" s="1"/>
  <c r="R116" i="23"/>
  <c r="R119" i="23" s="1"/>
  <c r="R123" i="23" s="1"/>
  <c r="AD103" i="23"/>
  <c r="AD106" i="23" s="1"/>
  <c r="AD110" i="23" s="1"/>
  <c r="O93" i="23"/>
  <c r="O97" i="23" s="1"/>
  <c r="AD93" i="23"/>
  <c r="AD97" i="23" s="1"/>
  <c r="R93" i="23"/>
  <c r="R97" i="23" s="1"/>
  <c r="AL93" i="23"/>
  <c r="AL97" i="23" s="1"/>
  <c r="AF116" i="23"/>
  <c r="AF119" i="23" s="1"/>
  <c r="AF123" i="23" s="1"/>
  <c r="AF103" i="23"/>
  <c r="AF106" i="23" s="1"/>
  <c r="AF110" i="23" s="1"/>
  <c r="C16" i="23"/>
  <c r="C21" i="23" s="1"/>
  <c r="C21" i="24" s="1"/>
  <c r="D195" i="24"/>
  <c r="D196" i="24" s="1"/>
  <c r="W116" i="23"/>
  <c r="W119" i="23" s="1"/>
  <c r="W123" i="23" s="1"/>
  <c r="P103" i="23"/>
  <c r="P106" i="23" s="1"/>
  <c r="P110" i="23" s="1"/>
  <c r="P116" i="23"/>
  <c r="P119" i="23" s="1"/>
  <c r="P123" i="23" s="1"/>
  <c r="W103" i="23"/>
  <c r="W106" i="23" s="1"/>
  <c r="W110" i="23" s="1"/>
  <c r="AH116" i="23"/>
  <c r="AH119" i="23" s="1"/>
  <c r="AH123" i="23" s="1"/>
  <c r="AA116" i="23"/>
  <c r="AA119" i="23" s="1"/>
  <c r="AA123" i="23" s="1"/>
  <c r="AK116" i="23"/>
  <c r="AK119" i="23" s="1"/>
  <c r="AK123" i="23" s="1"/>
  <c r="AG116" i="23"/>
  <c r="AG119" i="23" s="1"/>
  <c r="AG123" i="23" s="1"/>
  <c r="Q116" i="23"/>
  <c r="Q119" i="23" s="1"/>
  <c r="Q123" i="23" s="1"/>
  <c r="D22" i="23"/>
  <c r="D22" i="24" s="1"/>
  <c r="J93" i="23"/>
  <c r="J97" i="23" s="1"/>
  <c r="J116" i="23"/>
  <c r="X93" i="23"/>
  <c r="X97" i="23" s="1"/>
  <c r="X116" i="23"/>
  <c r="X119" i="23" s="1"/>
  <c r="X123" i="23" s="1"/>
  <c r="M93" i="23"/>
  <c r="M97" i="23" s="1"/>
  <c r="N116" i="23"/>
  <c r="N119" i="23" s="1"/>
  <c r="N123" i="23" s="1"/>
  <c r="U116" i="23"/>
  <c r="U119" i="23" s="1"/>
  <c r="U123" i="23" s="1"/>
  <c r="P93" i="23"/>
  <c r="P97" i="23" s="1"/>
  <c r="W93" i="23"/>
  <c r="W97" i="23" s="1"/>
  <c r="E22" i="23"/>
  <c r="L65" i="23"/>
  <c r="M65" i="23" s="1"/>
  <c r="N65" i="23" s="1"/>
  <c r="O65" i="23" s="1"/>
  <c r="P65" i="23" s="1"/>
  <c r="Q65" i="23" s="1"/>
  <c r="R65" i="23" s="1"/>
  <c r="S65" i="23" s="1"/>
  <c r="T65" i="23" s="1"/>
  <c r="U65" i="23" s="1"/>
  <c r="V65" i="23" s="1"/>
  <c r="W65" i="23" s="1"/>
  <c r="X65" i="23" s="1"/>
  <c r="Y65" i="23" s="1"/>
  <c r="Z65" i="23" s="1"/>
  <c r="AA65" i="23" s="1"/>
  <c r="AB65" i="23" s="1"/>
  <c r="AC65" i="23" s="1"/>
  <c r="AD65" i="23" s="1"/>
  <c r="AE65" i="23" s="1"/>
  <c r="AF65" i="23" s="1"/>
  <c r="AG65" i="23" s="1"/>
  <c r="AH65" i="23" s="1"/>
  <c r="AI65" i="23" s="1"/>
  <c r="AJ65" i="23" s="1"/>
  <c r="AK65" i="23" s="1"/>
  <c r="AL65" i="23" s="1"/>
  <c r="AM65" i="23" s="1"/>
  <c r="AB103" i="23"/>
  <c r="AB106" i="23" s="1"/>
  <c r="AB110" i="23" s="1"/>
  <c r="AB119" i="23"/>
  <c r="AB123" i="23" s="1"/>
  <c r="J103" i="23"/>
  <c r="J106" i="23" s="1"/>
  <c r="J110" i="23" s="1"/>
  <c r="J111" i="23" s="1"/>
  <c r="K111" i="23" s="1"/>
  <c r="L111" i="23" s="1"/>
  <c r="M103" i="23"/>
  <c r="M106" i="23" s="1"/>
  <c r="M110" i="23" s="1"/>
  <c r="M119" i="23"/>
  <c r="M123" i="23" s="1"/>
  <c r="X103" i="23"/>
  <c r="X106" i="23" s="1"/>
  <c r="X110" i="23" s="1"/>
  <c r="U103" i="23"/>
  <c r="U106" i="23" s="1"/>
  <c r="U110" i="23" s="1"/>
  <c r="U93" i="23"/>
  <c r="U97" i="23" s="1"/>
  <c r="J79" i="23"/>
  <c r="C76" i="23"/>
  <c r="E13" i="23" s="1"/>
  <c r="C57" i="23"/>
  <c r="D13" i="23" s="1"/>
  <c r="AB93" i="23"/>
  <c r="AB97" i="23" s="1"/>
  <c r="C90" i="23"/>
  <c r="F13" i="23" s="1"/>
  <c r="F16" i="23" s="1"/>
  <c r="C64" i="23"/>
  <c r="AK93" i="23"/>
  <c r="AK97" i="23" s="1"/>
  <c r="AK103" i="23"/>
  <c r="AK106" i="23" s="1"/>
  <c r="AK110" i="23" s="1"/>
  <c r="AG103" i="23"/>
  <c r="AG106" i="23" s="1"/>
  <c r="AG110" i="23" s="1"/>
  <c r="AG93" i="23"/>
  <c r="AG97" i="23" s="1"/>
  <c r="C60" i="23"/>
  <c r="C41" i="23"/>
  <c r="AH103" i="23"/>
  <c r="AH106" i="23" s="1"/>
  <c r="AH110" i="23" s="1"/>
  <c r="AH93" i="23"/>
  <c r="AH97" i="23" s="1"/>
  <c r="N103" i="23"/>
  <c r="N106" i="23" s="1"/>
  <c r="N110" i="23" s="1"/>
  <c r="N93" i="23"/>
  <c r="N97" i="23" s="1"/>
  <c r="C45" i="23"/>
  <c r="Q103" i="23"/>
  <c r="Q106" i="23" s="1"/>
  <c r="Q110" i="23" s="1"/>
  <c r="Q93" i="23"/>
  <c r="Q97" i="23" s="1"/>
  <c r="AA103" i="23"/>
  <c r="AA106" i="23" s="1"/>
  <c r="AA110" i="23" s="1"/>
  <c r="AA93" i="23"/>
  <c r="AA97" i="23" s="1"/>
  <c r="C22" i="23"/>
  <c r="C22" i="24" s="1"/>
  <c r="J46" i="23"/>
  <c r="K46" i="23" s="1"/>
  <c r="L46" i="23" s="1"/>
  <c r="M46" i="23" s="1"/>
  <c r="N46" i="23" s="1"/>
  <c r="O46" i="23" s="1"/>
  <c r="P46" i="23" s="1"/>
  <c r="Q46" i="23" s="1"/>
  <c r="R46" i="23" s="1"/>
  <c r="S46" i="23" s="1"/>
  <c r="T46" i="23" s="1"/>
  <c r="U46" i="23" s="1"/>
  <c r="V46" i="23" s="1"/>
  <c r="W46" i="23" s="1"/>
  <c r="X46" i="23" s="1"/>
  <c r="Y46" i="23" s="1"/>
  <c r="Z46" i="23" s="1"/>
  <c r="AA46" i="23" s="1"/>
  <c r="AB46" i="23" s="1"/>
  <c r="AC46" i="23" s="1"/>
  <c r="AD46" i="23" s="1"/>
  <c r="AE46" i="23" s="1"/>
  <c r="AF46" i="23" s="1"/>
  <c r="AG46" i="23" s="1"/>
  <c r="AH46" i="23" s="1"/>
  <c r="AI46" i="23" s="1"/>
  <c r="AJ46" i="23" s="1"/>
  <c r="AK46" i="23" s="1"/>
  <c r="AL46" i="23" s="1"/>
  <c r="AM46" i="23" s="1"/>
  <c r="C20" i="23" l="1"/>
  <c r="C20" i="24" s="1"/>
  <c r="C23" i="23"/>
  <c r="C18" i="24"/>
  <c r="C161" i="24"/>
  <c r="C158" i="24"/>
  <c r="D198" i="24"/>
  <c r="F20" i="23"/>
  <c r="C176" i="24"/>
  <c r="J98" i="23"/>
  <c r="K98" i="23" s="1"/>
  <c r="L98" i="23" s="1"/>
  <c r="M98" i="23" s="1"/>
  <c r="N98" i="23" s="1"/>
  <c r="O98" i="23" s="1"/>
  <c r="P98" i="23" s="1"/>
  <c r="Q98" i="23" s="1"/>
  <c r="R98" i="23" s="1"/>
  <c r="S98" i="23" s="1"/>
  <c r="T98" i="23" s="1"/>
  <c r="U98" i="23" s="1"/>
  <c r="V98" i="23" s="1"/>
  <c r="W98" i="23" s="1"/>
  <c r="X98" i="23" s="1"/>
  <c r="Y98" i="23" s="1"/>
  <c r="Z98" i="23" s="1"/>
  <c r="AA98" i="23" s="1"/>
  <c r="AB98" i="23" s="1"/>
  <c r="AC98" i="23" s="1"/>
  <c r="AD98" i="23" s="1"/>
  <c r="AE98" i="23" s="1"/>
  <c r="AF98" i="23" s="1"/>
  <c r="AG98" i="23" s="1"/>
  <c r="AH98" i="23" s="1"/>
  <c r="AI98" i="23" s="1"/>
  <c r="AJ98" i="23" s="1"/>
  <c r="AK98" i="23" s="1"/>
  <c r="AL98" i="23" s="1"/>
  <c r="AM98" i="23" s="1"/>
  <c r="G22" i="23"/>
  <c r="H22" i="23"/>
  <c r="D16" i="23"/>
  <c r="D158" i="24" s="1"/>
  <c r="E195" i="24"/>
  <c r="E196" i="24" s="1"/>
  <c r="F14" i="24"/>
  <c r="E16" i="23"/>
  <c r="E21" i="23" s="1"/>
  <c r="E161" i="24" s="1"/>
  <c r="F195" i="24"/>
  <c r="F196" i="24" s="1"/>
  <c r="M111" i="23"/>
  <c r="N111" i="23" s="1"/>
  <c r="O111" i="23" s="1"/>
  <c r="P111" i="23" s="1"/>
  <c r="Q111" i="23" s="1"/>
  <c r="R111" i="23" s="1"/>
  <c r="S111" i="23" s="1"/>
  <c r="T111" i="23" s="1"/>
  <c r="U111" i="23" s="1"/>
  <c r="V111" i="23" s="1"/>
  <c r="W111" i="23" s="1"/>
  <c r="X111" i="23" s="1"/>
  <c r="Y111" i="23" s="1"/>
  <c r="Z111" i="23" s="1"/>
  <c r="AA111" i="23" s="1"/>
  <c r="AB111" i="23" s="1"/>
  <c r="AC111" i="23" s="1"/>
  <c r="AD111" i="23" s="1"/>
  <c r="AE111" i="23" s="1"/>
  <c r="AF111" i="23" s="1"/>
  <c r="AG111" i="23" s="1"/>
  <c r="AH111" i="23" s="1"/>
  <c r="AI111" i="23" s="1"/>
  <c r="AJ111" i="23" s="1"/>
  <c r="AK111" i="23" s="1"/>
  <c r="AL111" i="23" s="1"/>
  <c r="AM111" i="23" s="1"/>
  <c r="J119" i="23"/>
  <c r="C116" i="23"/>
  <c r="H13" i="23" s="1"/>
  <c r="H16" i="23" s="1"/>
  <c r="E176" i="24" s="1"/>
  <c r="J83" i="23"/>
  <c r="C79" i="23"/>
  <c r="F23" i="23"/>
  <c r="F21" i="23"/>
  <c r="C179" i="24" s="1"/>
  <c r="C97" i="23"/>
  <c r="C106" i="23"/>
  <c r="C93" i="23"/>
  <c r="F22" i="23"/>
  <c r="C180" i="24" s="1"/>
  <c r="C103" i="23"/>
  <c r="G13" i="23" s="1"/>
  <c r="G16" i="23" s="1"/>
  <c r="D176" i="24" s="1"/>
  <c r="C162" i="24"/>
  <c r="C110" i="23"/>
  <c r="C24" i="23" l="1"/>
  <c r="C163" i="24" s="1"/>
  <c r="C160" i="24"/>
  <c r="E198" i="24"/>
  <c r="D18" i="24"/>
  <c r="D20" i="23"/>
  <c r="D24" i="23" s="1"/>
  <c r="D163" i="24" s="1"/>
  <c r="D21" i="23"/>
  <c r="I3" i="48" s="1"/>
  <c r="D23" i="23"/>
  <c r="F24" i="23"/>
  <c r="C181" i="24" s="1"/>
  <c r="C178" i="24"/>
  <c r="E23" i="23"/>
  <c r="E158" i="24"/>
  <c r="E20" i="23"/>
  <c r="E160" i="24" s="1"/>
  <c r="F198" i="24"/>
  <c r="H21" i="23"/>
  <c r="E179" i="24" s="1"/>
  <c r="H23" i="23"/>
  <c r="H20" i="23"/>
  <c r="G20" i="23"/>
  <c r="G23" i="23"/>
  <c r="J123" i="23"/>
  <c r="C119" i="23"/>
  <c r="C83" i="23"/>
  <c r="J84" i="23"/>
  <c r="K84" i="23" s="1"/>
  <c r="L84" i="23" s="1"/>
  <c r="M84" i="23" s="1"/>
  <c r="N84" i="23" s="1"/>
  <c r="O84" i="23" s="1"/>
  <c r="P84" i="23" s="1"/>
  <c r="Q84" i="23" s="1"/>
  <c r="R84" i="23" s="1"/>
  <c r="S84" i="23" s="1"/>
  <c r="T84" i="23" s="1"/>
  <c r="U84" i="23" s="1"/>
  <c r="V84" i="23" s="1"/>
  <c r="W84" i="23" s="1"/>
  <c r="X84" i="23" s="1"/>
  <c r="Y84" i="23" s="1"/>
  <c r="Z84" i="23" s="1"/>
  <c r="AA84" i="23" s="1"/>
  <c r="AB84" i="23" s="1"/>
  <c r="AC84" i="23" s="1"/>
  <c r="AD84" i="23" s="1"/>
  <c r="AE84" i="23" s="1"/>
  <c r="AF84" i="23" s="1"/>
  <c r="AG84" i="23" s="1"/>
  <c r="AH84" i="23" s="1"/>
  <c r="AI84" i="23" s="1"/>
  <c r="AJ84" i="23" s="1"/>
  <c r="AK84" i="23" s="1"/>
  <c r="AL84" i="23" s="1"/>
  <c r="AM84" i="23" s="1"/>
  <c r="G21" i="23"/>
  <c r="D179" i="24" s="1"/>
  <c r="C23" i="24" l="1"/>
  <c r="D20" i="24"/>
  <c r="D160" i="24"/>
  <c r="D23" i="24"/>
  <c r="D161" i="24"/>
  <c r="D21" i="24"/>
  <c r="G3" i="48"/>
  <c r="H3" i="48" s="1"/>
  <c r="G24" i="23"/>
  <c r="D181" i="24" s="1"/>
  <c r="D178" i="24"/>
  <c r="H24" i="23"/>
  <c r="E181" i="24" s="1"/>
  <c r="E178" i="24"/>
  <c r="E24" i="23"/>
  <c r="E163" i="24" s="1"/>
  <c r="J124" i="23"/>
  <c r="K124" i="23" s="1"/>
  <c r="L124" i="23" s="1"/>
  <c r="M124" i="23" s="1"/>
  <c r="N124" i="23" s="1"/>
  <c r="O124" i="23" s="1"/>
  <c r="P124" i="23" s="1"/>
  <c r="Q124" i="23" s="1"/>
  <c r="R124" i="23" s="1"/>
  <c r="S124" i="23" s="1"/>
  <c r="T124" i="23" s="1"/>
  <c r="U124" i="23" s="1"/>
  <c r="V124" i="23" s="1"/>
  <c r="W124" i="23" s="1"/>
  <c r="X124" i="23" s="1"/>
  <c r="Y124" i="23" s="1"/>
  <c r="Z124" i="23" s="1"/>
  <c r="AA124" i="23" s="1"/>
  <c r="AB124" i="23" s="1"/>
  <c r="AC124" i="23" s="1"/>
  <c r="AD124" i="23" s="1"/>
  <c r="AE124" i="23" s="1"/>
  <c r="AF124" i="23" s="1"/>
  <c r="AG124" i="23" s="1"/>
  <c r="AH124" i="23" s="1"/>
  <c r="AI124" i="23" s="1"/>
  <c r="AJ124" i="23" s="1"/>
  <c r="AK124" i="23" s="1"/>
  <c r="AL124" i="23" s="1"/>
  <c r="AM124" i="23" s="1"/>
  <c r="C123" i="23"/>
</calcChain>
</file>

<file path=xl/comments1.xml><?xml version="1.0" encoding="utf-8"?>
<comments xmlns="http://schemas.openxmlformats.org/spreadsheetml/2006/main">
  <authors>
    <author>Author</author>
  </authors>
  <commentList>
    <comment ref="B20" authorId="0" shapeId="0">
      <text>
        <r>
          <rPr>
            <b/>
            <sz val="9"/>
            <color indexed="81"/>
            <rFont val="Tahoma"/>
            <family val="2"/>
          </rPr>
          <t>Use this table as per USDOT BCA Guidance December 2018</t>
        </r>
      </text>
    </comment>
    <comment ref="B117" authorId="0" shapeId="0">
      <text>
        <r>
          <rPr>
            <b/>
            <sz val="9"/>
            <color indexed="81"/>
            <rFont val="Tahoma"/>
            <family val="2"/>
          </rPr>
          <t>Updated to 2010 to 2013 average. Previous data as from TASAS Unit, 2007 to 2009 average.</t>
        </r>
      </text>
    </comment>
  </commentList>
</comments>
</file>

<file path=xl/comments2.xml><?xml version="1.0" encoding="utf-8"?>
<comments xmlns="http://schemas.openxmlformats.org/spreadsheetml/2006/main">
  <authors>
    <author>Author</author>
  </authors>
  <commentList>
    <comment ref="F70" authorId="0" shapeId="0">
      <text>
        <r>
          <rPr>
            <b/>
            <sz val="9"/>
            <color indexed="81"/>
            <rFont val="Tahoma"/>
            <family val="2"/>
          </rPr>
          <t>If you are NOT using Cal-B/C, set the value to 1. If you are using Cal-B/C set the value to 0.</t>
        </r>
        <r>
          <rPr>
            <sz val="9"/>
            <color indexed="81"/>
            <rFont val="Tahoma"/>
            <family val="2"/>
          </rPr>
          <t xml:space="preserve">
</t>
        </r>
      </text>
    </comment>
    <comment ref="F97" authorId="0" shapeId="0">
      <text>
        <r>
          <rPr>
            <b/>
            <sz val="9"/>
            <color indexed="81"/>
            <rFont val="Tahoma"/>
            <family val="2"/>
          </rPr>
          <t>If you are NOT using Cal-B/C, set the value to 1. If you are using Cal-B/C set the value to 0.</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B1" authorId="0" shapeId="0">
      <text>
        <r>
          <rPr>
            <b/>
            <sz val="9"/>
            <color indexed="81"/>
            <rFont val="Tahoma"/>
            <family val="2"/>
          </rPr>
          <t>Use table below for Inflation adjustment as per USDOT BCA Guidance.</t>
        </r>
      </text>
    </comment>
  </commentList>
</comments>
</file>

<file path=xl/sharedStrings.xml><?xml version="1.0" encoding="utf-8"?>
<sst xmlns="http://schemas.openxmlformats.org/spreadsheetml/2006/main" count="2621" uniqueCount="1148">
  <si>
    <t>Unit</t>
  </si>
  <si>
    <t>Value</t>
  </si>
  <si>
    <t>Source</t>
  </si>
  <si>
    <t>General Inputs</t>
  </si>
  <si>
    <t>%</t>
  </si>
  <si>
    <t>years</t>
  </si>
  <si>
    <t xml:space="preserve">Real Discount Factor </t>
  </si>
  <si>
    <t xml:space="preserve">Base Year of Analysis </t>
  </si>
  <si>
    <t xml:space="preserve">USDOT BCA Guidance </t>
  </si>
  <si>
    <t>year</t>
  </si>
  <si>
    <t xml:space="preserve">Construction Start </t>
  </si>
  <si>
    <t xml:space="preserve">Construction Completion </t>
  </si>
  <si>
    <t>2017$</t>
  </si>
  <si>
    <t>Traffic &amp; Freight Inputs</t>
  </si>
  <si>
    <t>miles</t>
  </si>
  <si>
    <t>Social-Economic Inputs</t>
  </si>
  <si>
    <t>Accident Costs</t>
  </si>
  <si>
    <t>Units</t>
  </si>
  <si>
    <t>Most Likely</t>
  </si>
  <si>
    <t>Low</t>
  </si>
  <si>
    <t>High</t>
  </si>
  <si>
    <t>In Dollars of</t>
  </si>
  <si>
    <t>Online</t>
  </si>
  <si>
    <t>Value of a Statistical Life</t>
  </si>
  <si>
    <t>$ per life</t>
  </si>
  <si>
    <r>
      <rPr>
        <sz val="8"/>
        <color theme="1"/>
        <rFont val="Arial"/>
        <family val="2"/>
        <scheme val="major"/>
      </rPr>
      <t xml:space="preserve">US DOT, </t>
    </r>
    <r>
      <rPr>
        <i/>
        <sz val="8"/>
        <color theme="1"/>
        <rFont val="Arial"/>
        <family val="2"/>
        <scheme val="major"/>
      </rPr>
      <t>Guidance on Treatment of the Economic Value of a Statistical Life in U.S. Department of Transportation Analyses</t>
    </r>
    <r>
      <rPr>
        <sz val="8"/>
        <color theme="1"/>
        <rFont val="Arial"/>
        <family val="2"/>
        <scheme val="major"/>
      </rPr>
      <t xml:space="preserve"> (2016); See page 12. Original document has 5.4M and 13.4M, not 13.6M  </t>
    </r>
    <r>
      <rPr>
        <u/>
        <sz val="8"/>
        <color theme="1"/>
        <rFont val="Arial"/>
        <family val="2"/>
        <scheme val="major"/>
      </rPr>
      <t xml:space="preserve">US DOT, </t>
    </r>
    <r>
      <rPr>
        <i/>
        <u/>
        <sz val="8"/>
        <color theme="1"/>
        <rFont val="Arial"/>
        <family val="2"/>
        <scheme val="major"/>
      </rPr>
      <t>BCA Guidance for Dicretionary Grant Programs</t>
    </r>
    <r>
      <rPr>
        <u/>
        <sz val="8"/>
        <color theme="1"/>
        <rFont val="Arial"/>
        <family val="2"/>
        <scheme val="major"/>
      </rPr>
      <t xml:space="preserve"> (2018)</t>
    </r>
    <r>
      <rPr>
        <sz val="8"/>
        <color theme="1"/>
        <rFont val="Arial"/>
        <family val="2"/>
        <scheme val="major"/>
      </rPr>
      <t>; LOW and HIGH values updated by HDR</t>
    </r>
  </si>
  <si>
    <t>http://www.dot.gov/office-policy/transportation-policy/guidance-treatment-economic-value-statistical-life</t>
  </si>
  <si>
    <t>Relative Disutility Factors by Injury Severity Level (Maximum Abbreviated Injury Scale)</t>
  </si>
  <si>
    <t>MAIS 1 - Minor injury</t>
  </si>
  <si>
    <t>fraction of VSL</t>
  </si>
  <si>
    <t>MAIS 2 - Moderate injury</t>
  </si>
  <si>
    <t>MAIS 3 - Serious injury</t>
  </si>
  <si>
    <t>MAIS 4 - Severe injury</t>
  </si>
  <si>
    <t>MAIS 5 - Critical injury</t>
  </si>
  <si>
    <t>MAIS 6 - Fatality</t>
  </si>
  <si>
    <t>Note</t>
  </si>
  <si>
    <t>As of December 2018, there has been no update to VSL guidance.</t>
  </si>
  <si>
    <t>Property Damage Only Cost</t>
  </si>
  <si>
    <t>Highway Accident</t>
  </si>
  <si>
    <t>$ per damaged vehicle</t>
  </si>
  <si>
    <r>
      <t xml:space="preserve">The original reference is: </t>
    </r>
    <r>
      <rPr>
        <sz val="8"/>
        <color theme="1"/>
        <rFont val="Arial"/>
        <family val="2"/>
        <scheme val="major"/>
      </rPr>
      <t xml:space="preserve">US. DOT, </t>
    </r>
    <r>
      <rPr>
        <i/>
        <sz val="8"/>
        <color theme="1"/>
        <rFont val="Arial"/>
        <family val="2"/>
        <scheme val="major"/>
      </rPr>
      <t>The Economic and Societal Impact of Motor Vehicle Crashes</t>
    </r>
    <r>
      <rPr>
        <sz val="8"/>
        <color theme="1"/>
        <rFont val="Arial"/>
        <family val="2"/>
        <scheme val="major"/>
      </rPr>
      <t xml:space="preserve"> (2010); </t>
    </r>
    <r>
      <rPr>
        <u/>
        <sz val="8"/>
        <color theme="1"/>
        <rFont val="Arial"/>
        <family val="2"/>
        <scheme val="major"/>
      </rPr>
      <t>(revised May 2015), Page 12, Table 1-2, Summary of Unit Costs, 2000”.     Inflated to 2017 dollars using the GDP Deflator.</t>
    </r>
  </si>
  <si>
    <t>https://www.transportation.gov/sites/dot.gov/files/docs/mission/office-policy/transportation-policy/284031/benefit-cost-analysis-guidance-2018.pdf</t>
  </si>
  <si>
    <t>KABCO-AIS Conversion Table (Excluding Fatalities in Non-Fatal Injury Codes)</t>
  </si>
  <si>
    <t>O</t>
  </si>
  <si>
    <t>C</t>
  </si>
  <si>
    <t>B</t>
  </si>
  <si>
    <t>A</t>
  </si>
  <si>
    <t>K</t>
  </si>
  <si>
    <t>Injured</t>
  </si>
  <si>
    <t>Unknown</t>
  </si>
  <si>
    <t>No Injury</t>
  </si>
  <si>
    <t>Possible Injury</t>
  </si>
  <si>
    <t>Non Incapacitating</t>
  </si>
  <si>
    <t>Incapacitating</t>
  </si>
  <si>
    <t xml:space="preserve"> Killed</t>
  </si>
  <si>
    <t>Severity Unknown</t>
  </si>
  <si>
    <t>If Injured</t>
  </si>
  <si>
    <t>AIS 0-No Injury</t>
  </si>
  <si>
    <t>AIS 1-Minor</t>
  </si>
  <si>
    <t>AIS 2-Moderate</t>
  </si>
  <si>
    <t>AIS 3-Serious</t>
  </si>
  <si>
    <t>AIS 4-Severe</t>
  </si>
  <si>
    <t>AIS 5-Critical</t>
  </si>
  <si>
    <t>Fatality</t>
  </si>
  <si>
    <t>Source: National Highway Traffic Safety Administration, July 2011, table provided in US DOT FASTLANE II November 2016, page 12</t>
  </si>
  <si>
    <t>AIS=Abbreviated Injury Scale</t>
  </si>
  <si>
    <t>MAIS=Maximum AIS</t>
  </si>
  <si>
    <t>Source:</t>
  </si>
  <si>
    <t>US DOT NHTSA, "Estimation of Safety Benefits for Heavy Vehicle Crash Warning Applications Based on Vehicle-to-Vehicle Communications", November 2017, DOT HS 812 429</t>
  </si>
  <si>
    <t>TABLE ABOVE NOT USED BY USDOT IN THEIR BCA GUIDANCE</t>
  </si>
  <si>
    <t>Number of Persons Injured, Occupants and Non-Occupants, 2015</t>
  </si>
  <si>
    <t>Appendix A, page 45</t>
  </si>
  <si>
    <t>Non-Incapacitating</t>
  </si>
  <si>
    <t>Other*</t>
  </si>
  <si>
    <t>Total Injured</t>
  </si>
  <si>
    <t>https://www.nhtsa.gov/sites/nhtsa.dot.gov/files/documents/812429-hv_v2v_safetybenefits.pdf</t>
  </si>
  <si>
    <t>All vehicles</t>
  </si>
  <si>
    <t>% total</t>
  </si>
  <si>
    <t>Source: 2015 Traffic Safety Facts FARS/GES Annual Report, Publication DOT HS 812 384, Table 54, page 106</t>
  </si>
  <si>
    <t>* Presumably includes Possible Injury and Severity Unknown; assume most is Possible Injury</t>
  </si>
  <si>
    <t>https://crashstats.nhtsa.dot.gov/Api/Public/ViewPublication/812384</t>
  </si>
  <si>
    <t>Recommendations for INFRA 2018/2019 (2017 dollars)</t>
  </si>
  <si>
    <t>TO MONETIZE EFFECTS OCCURING IN EACH YEAR OVER ANALYSIS PERIOD:</t>
  </si>
  <si>
    <t>MOST LIKELY</t>
  </si>
  <si>
    <t>LOW</t>
  </si>
  <si>
    <t>HIGH</t>
  </si>
  <si>
    <t>MAIS 1-Minor</t>
  </si>
  <si>
    <t>$ per injury</t>
  </si>
  <si>
    <t>MAIS 2-Moderate</t>
  </si>
  <si>
    <t>MAIS 3-Serious</t>
  </si>
  <si>
    <t>MAIS 4-Severe</t>
  </si>
  <si>
    <t>MAIS 5-Critical</t>
  </si>
  <si>
    <t>$ per fatality</t>
  </si>
  <si>
    <t>O - No Injury</t>
  </si>
  <si>
    <t>C - Possible Injury</t>
  </si>
  <si>
    <t>B - Non Incapacitating</t>
  </si>
  <si>
    <t>A - Incapacitating</t>
  </si>
  <si>
    <t>K -  Killed</t>
  </si>
  <si>
    <t>Injured - Severity Unknown</t>
  </si>
  <si>
    <t>Unknown - If Injured</t>
  </si>
  <si>
    <t>NOTE:  DOT GUIDANCE RECOMMENDS, EXPLICITELY, NOT TO INFER ANY PROBABILITY DISTRIBUTION FROM THE ABOVE ESTIMATES</t>
  </si>
  <si>
    <t>THERE IS NO RECOMMENDATION TO INCREASE VOT OVER TIME BY SOME RATE OF GROWTH.</t>
  </si>
  <si>
    <t>FOR PROPERTY DAMAGE ONLY ACCIDENTS:</t>
  </si>
  <si>
    <t>AVERAGE INJURY COST ESTIMATES</t>
  </si>
  <si>
    <t>Weighted 2017</t>
  </si>
  <si>
    <t>LOW (for Sensitivity Analysis)</t>
  </si>
  <si>
    <t>HIGH (for Sensitivity Analysis)</t>
  </si>
  <si>
    <t xml:space="preserve">Note:  Explain how weighted average injury costs were estimated in your Technical Appendix, if you are using the above values. </t>
  </si>
  <si>
    <t>Use of Injured - Severity Unknown is a good alternative if you do not have a breakdown of accident data by severity.</t>
  </si>
  <si>
    <t>Updated January 2019</t>
  </si>
  <si>
    <t>Notes</t>
  </si>
  <si>
    <t xml:space="preserve">VSL and associated injury values: </t>
  </si>
  <si>
    <t>Include productivity losses, pain, suffering, and lost quality of life (including "psychic disutility")</t>
  </si>
  <si>
    <t>Include portion of medical expenses paid for by individual (~15%)</t>
  </si>
  <si>
    <t>Do not include medical expenses paid through societal mechanisms such as insurance, tax supported welfare programs, and charity (~85%)</t>
  </si>
  <si>
    <t>Do not include property damage or traffic delay</t>
  </si>
  <si>
    <t>PDO cost is about 90% travel delay and property damage.  The remaining components are from workplace productivity loss, insurance administrative costs, household production loss, and emergency services.</t>
  </si>
  <si>
    <t>You will need to map the Relative Disutility Factors by Injury Severity Level into the accident data available for the project. The tables below may help:</t>
  </si>
  <si>
    <t>Examples</t>
  </si>
  <si>
    <t>Injury Whiplash, bruise, broken tooth</t>
  </si>
  <si>
    <t>Closed leg fracture, finger crush</t>
  </si>
  <si>
    <t>Open leg fracture, amputated arm, major nerve laceration</t>
  </si>
  <si>
    <t>Partial spinal cord severance, concussion (unconscious less than 24 hours)</t>
  </si>
  <si>
    <t>Complete spinal cord severance, concussion (unconscious more than 24 hours)</t>
  </si>
  <si>
    <t>Source: Crash Outcomes Data Evaluation System: An Evaluation of Medical Crash Costs, Center for Transportation Research and Education, Iowa State University, May 1999</t>
  </si>
  <si>
    <t>http://www.intrans.iastate.edu/reports/codes.pdf</t>
  </si>
  <si>
    <t>Your client may be able to provide a detailed mapping. This is what we used in New York in 2010:</t>
  </si>
  <si>
    <t>Average MAIS score</t>
  </si>
  <si>
    <t xml:space="preserve">Pedestrians </t>
  </si>
  <si>
    <t xml:space="preserve">      Bicyclists</t>
  </si>
  <si>
    <t>Motor Vehicle Occupants &amp; Motorcyclists</t>
  </si>
  <si>
    <t>K Fatality</t>
  </si>
  <si>
    <t>A Incapacitating</t>
  </si>
  <si>
    <t>B Non Incapacitating</t>
  </si>
  <si>
    <t>C Possible Injury</t>
  </si>
  <si>
    <t>O No Injury</t>
  </si>
  <si>
    <t>U Injured, Severity Unknown</t>
  </si>
  <si>
    <t>Source: NYDOH, forwarded by Matthew Roe; Planning &amp; Research Manager; NYC Department of Transportation</t>
  </si>
  <si>
    <t>Distinction between Accidents and Events</t>
  </si>
  <si>
    <t>If you are using safety data expressed as number of accidents (e.g. fatal accidents), you should transform accidents into events (e.g. fatalities) before using the above assumptions.</t>
  </si>
  <si>
    <t>You may be able to obtain data on the number of events per accident from your client or other sources.</t>
  </si>
  <si>
    <t>If those data are not available, consider using data for the State of California (summarized in the tables below).</t>
  </si>
  <si>
    <t>NUMBER OF FATALITIES</t>
  </si>
  <si>
    <t>(events/accident)</t>
  </si>
  <si>
    <t>Accident Type</t>
  </si>
  <si>
    <t>Urban</t>
  </si>
  <si>
    <t>Suburban</t>
  </si>
  <si>
    <t>Rural</t>
  </si>
  <si>
    <t>Average</t>
  </si>
  <si>
    <t>Fatal Accident</t>
  </si>
  <si>
    <t>NUMBER OF INJURIES</t>
  </si>
  <si>
    <t>Injury Accident</t>
  </si>
  <si>
    <t>NUMBER OF VEHICLES INVOLVED</t>
  </si>
  <si>
    <t>PDO Accident</t>
  </si>
  <si>
    <t>Source: California Department of Transportation, TASAS Unit, 2010 to 2013 average</t>
  </si>
  <si>
    <t>Value of Time</t>
  </si>
  <si>
    <t>Preferred</t>
  </si>
  <si>
    <t>Values shown in BCA Resource Guide for  FASTLANE II November 2016 (2015 U.S. Dollars per person-hour)</t>
  </si>
  <si>
    <r>
      <t>This is based on the most recent US DOT FASTLANE II November 2016 BCA Resource Guide (</t>
    </r>
    <r>
      <rPr>
        <b/>
        <sz val="8"/>
        <color theme="0"/>
        <rFont val="Arial"/>
        <family val="2"/>
        <scheme val="major"/>
      </rPr>
      <t>updated 11/17/2016</t>
    </r>
    <r>
      <rPr>
        <sz val="8"/>
        <color theme="0"/>
        <rFont val="Arial"/>
        <family val="2"/>
        <scheme val="major"/>
      </rPr>
      <t>) and associated DOT Guidance on VTTS</t>
    </r>
  </si>
  <si>
    <t>Travel Time Cost, $ per person-hour</t>
  </si>
  <si>
    <t>Local Travel (Surface modes* except high-speed rail)</t>
  </si>
  <si>
    <t>Personal</t>
  </si>
  <si>
    <t>US DOT, Revised Departmental Guidance on Valuation of Travel Time in Economic Analysis, Revision 2-corrected ; LOW and HIGH values updated by HDR</t>
  </si>
  <si>
    <t>https://www.transportation.gov/office-policy/transportation-policy/revised-departmental-guidance-valuation-travel-time-economic</t>
  </si>
  <si>
    <t>Business</t>
  </si>
  <si>
    <t>All Purposes **</t>
  </si>
  <si>
    <t>Intercity Travel</t>
  </si>
  <si>
    <t>Surface modes (except High Speed Rail)</t>
  </si>
  <si>
    <t>Air &amp; High Speed Rail travel</t>
  </si>
  <si>
    <t>Vehicle Operators</t>
  </si>
  <si>
    <t>Truck drivers</t>
  </si>
  <si>
    <t>Bus drivers</t>
  </si>
  <si>
    <t>Transit rail operators</t>
  </si>
  <si>
    <t>Locomotive engineers</t>
  </si>
  <si>
    <t>Airline pilots and engineers</t>
  </si>
  <si>
    <t>Value of Time Adjustment (from VOT recommendations), 2015-2017</t>
  </si>
  <si>
    <t>BCA Guidance, December 2018 and VOT recommendations</t>
  </si>
  <si>
    <t>Calculated based on VOT recommendations</t>
  </si>
  <si>
    <t>Note: December 2019 BCA Guidance provided fewer categories of VOTs than in guidance in some previous years.  The calculations below provide calculated match to categories available in earlier guidance and in latest USDOT Departmental Guidance on Valuation of Travel Time Savings (dated September 27, 2016)</t>
  </si>
  <si>
    <t xml:space="preserve">At this time, US DOT does not recommend up-rating the value of travel time savings over time. I.e. a constant VTTS should be used. </t>
  </si>
  <si>
    <t xml:space="preserve">Commuting is a form of personal travel; it is not business travel. </t>
  </si>
  <si>
    <t>The values of time for High Speed Rail Travel are only applicable to Core Express services or corridors (i.e., with speeds between 125 and 250 mph).</t>
  </si>
  <si>
    <t>A constant value per hour should be used for large and small travel time savings.</t>
  </si>
  <si>
    <t>There should be no distinction between driving in congested versus free-flowing traffic conditions (i.e., no congestion premium). This is only addressed explicitly in the 1997 and 2003 guidance documents.</t>
  </si>
  <si>
    <t>You may want to update the weights used in the estimation of average VOT across trip purposes (“all purposes”) if you have access to a project-specific distribution of travel by trip purpose on various modes.</t>
  </si>
  <si>
    <t>Values of time are reported in dollars per hour per person. You will need an average vehicle occupancy rate if applied to travel time savings measured in vehicle hours.</t>
  </si>
  <si>
    <t>The following average vehicle occupancy rate may be used in the conversion (use project-specific or region-specific information if available):</t>
  </si>
  <si>
    <t>All trips, persons per vehicle</t>
  </si>
  <si>
    <t>Final Regulatory Impact Analysis Corporate Average Fuel Economy for MY 2012-MY 2016 Passenger Cars and Light Trucks, March 2010, page 385</t>
  </si>
  <si>
    <t>All trips in urban areas in peak period, persons per vehicle</t>
  </si>
  <si>
    <t>Texas Transportation Institute, 2015 Urban Mobility Report, page A-13</t>
  </si>
  <si>
    <t>The two red values below are from December 2018 Guidance Appendix A Table A-4: Average Vehicle Occupancy</t>
  </si>
  <si>
    <t>Applicants are encouraged to rely on localized data or analysis that is specific to the corridor being improved and, where available, by time of day (particularly when travel time savings are being generated by reductions in peak-period delay) in generating assumptions about vehicle occupancy factors, and document those sources and assumptions in the BCA. In</t>
  </si>
  <si>
    <t>Vehicle Type</t>
  </si>
  <si>
    <t>Occupancy</t>
  </si>
  <si>
    <t>Use BCA Guidance if no specific local data is available.</t>
  </si>
  <si>
    <t>Passenger Vehicles</t>
  </si>
  <si>
    <t>The source cited in BCA  Guidance is Federal Highway Administration Highway Statistics 2016, Table VM1</t>
  </si>
  <si>
    <t>Trucks</t>
  </si>
  <si>
    <t>For goods movement, you may consider adding an inventory cost and a time-related vehicle depreciation cost to the driver's hourly wage rate. Refer to the FHWA Highway Economic Requirements System (HERS) manual for guidance.</t>
  </si>
  <si>
    <t>The DOT Guidance does recognize the existence of inventory costs but does not provide any recommendations on this ("we are not yet prepared to offer guidance on this issue").</t>
  </si>
  <si>
    <t>The DOT VOT Guidance recognizes that a lower VOT may be used when work can be performed during travel, but does not provide any specific recommendations.</t>
  </si>
  <si>
    <t>The BCA Guidance recognizes that an allowance (premium?) may be added to VOT to reflect improvements in travel time reliability, but does not provide any specific recommendations.</t>
  </si>
  <si>
    <t>Emission Costs</t>
  </si>
  <si>
    <t>Social Cost Estimates from NHTSA 2012</t>
  </si>
  <si>
    <t>$ Year</t>
  </si>
  <si>
    <t>Value ($/short ton</t>
  </si>
  <si>
    <t>Sources</t>
  </si>
  <si>
    <t>Carbon Monoxide (CO)</t>
  </si>
  <si>
    <t>$ per METRIC ton</t>
  </si>
  <si>
    <t>Negligible</t>
  </si>
  <si>
    <r>
      <t xml:space="preserve">Corporate Average Fuel Economy for MY2017-MY2025 Passenger Cars and Light Trucks (August 2012), page 922, Table VIII-16, “Economic Values Used for Benefits Computations (2010 dollars)”
http://www.nhtsa.gov/staticfiles/rulemaking/pdf/cafe/FRIA_2017-2025.pdf
</t>
    </r>
    <r>
      <rPr>
        <u/>
        <sz val="8"/>
        <color theme="1"/>
        <rFont val="Arial"/>
        <family val="2"/>
      </rPr>
      <t>Note: Values are inflated from 2010 dollars to 2016 dollars using the GDP deflator (see INFRA guidance, p. 32).</t>
    </r>
  </si>
  <si>
    <t>http://www.nhtsa.gov/staticfiles/rulemaking/pdf/cafe/FRIA_2017-2025.pdf</t>
  </si>
  <si>
    <t>Volatile Organic Compounds (VOC)</t>
  </si>
  <si>
    <t>Nitrogen Oxides (NOx)</t>
  </si>
  <si>
    <t>Fine Particulate Matter (PM)</t>
  </si>
  <si>
    <t>Sulfur Dioxide (SO2)</t>
  </si>
  <si>
    <t>Other Cost Estimates</t>
  </si>
  <si>
    <t>$ per ton</t>
  </si>
  <si>
    <t xml:space="preserve">Victoria Transport Policy Institute, Air Pollution Costs Spreadsheet. </t>
  </si>
  <si>
    <t>www.vtpi.org/airpollution.xls (link does not always work)</t>
  </si>
  <si>
    <t>Interagency Working Group on Social Cost of Carbon (November 2013)</t>
  </si>
  <si>
    <t>NOT USED</t>
  </si>
  <si>
    <t>Discount rate</t>
  </si>
  <si>
    <t>Summary estimate</t>
  </si>
  <si>
    <t>95th percentile</t>
  </si>
  <si>
    <t>SCC estimates for monetizing changes in CO2 emissions occurring in 2010</t>
  </si>
  <si>
    <t>Technical Support Document: Technical Update of the Social Cost of Carbon for Regulatory Impact Analysis Under Executive Order 12866 (May 2013; revised July 2015), page 3</t>
  </si>
  <si>
    <t>http://www.whitehouse.gov/sites/default/files/omb/inforeg/scc-tsd-final-july-2015.pdf</t>
  </si>
  <si>
    <t>Average Annual Growth Rates of SCC between 2010 and 2050</t>
  </si>
  <si>
    <t>2010 - 2020</t>
  </si>
  <si>
    <t>% per year</t>
  </si>
  <si>
    <t>n/a</t>
  </si>
  <si>
    <t>Technical Support Document: Technical Update of the Social Cost of Carbon for Regulatory Impact Analysis Under Executive Order 12866 (May 2013; revised July 2015), page 13</t>
  </si>
  <si>
    <t>2020 - 2030</t>
  </si>
  <si>
    <t>2030 - 2040</t>
  </si>
  <si>
    <t>2040 - 2050</t>
  </si>
  <si>
    <t>Annual Values from 2010 to 2050</t>
  </si>
  <si>
    <t>Year</t>
  </si>
  <si>
    <t>Technical Support Document: Technical Update of the Social Cost of Carbon for Regulatory Impact Analysis Under Executive Order 12866 (May 2013; revised July 2015), page 18.</t>
  </si>
  <si>
    <t>https://www.epa.gov/sites/production/files/2016-12/documents/sc_co2_tsd_august_2016.pdf</t>
  </si>
  <si>
    <t>The 2016 BCA Resource Guide converted this to 2015 dollars and also shows the value to the nearest dollar.</t>
  </si>
  <si>
    <t>Notes:</t>
  </si>
  <si>
    <t>All estimates are in 2007 dollars per metric ton of carbon dioxide (CO2). The mass of CO2 is 44/12 (=3.67) the mass of carbon.</t>
  </si>
  <si>
    <t>$ per SHORT ton</t>
  </si>
  <si>
    <t>The Safer Affordable Fuel-Efficient Vehicles Rule for MY2021-MY2026 Passenger Cars and Light Trucks Preliminary Regulatory Impact Analysis (October 2018)”</t>
  </si>
  <si>
    <t>https://www.nhtsa.gov/sites/nhtsa.dot.gov/files/documents/ld_cafe_co2_nhtsa_2127-al76_epa_pria_181016.pdf</t>
  </si>
  <si>
    <t>Fine Particulate Matter (PM2.5)</t>
  </si>
  <si>
    <t>Values are inflated from 2016 dollars to 2017 dollars using the GDP deflator</t>
  </si>
  <si>
    <t>Short Tons per Metric Ton</t>
  </si>
  <si>
    <t xml:space="preserve">Social Cost of Carbon </t>
  </si>
  <si>
    <t>$2017  per METRIC ton</t>
  </si>
  <si>
    <t>Social Cost of Carbon</t>
  </si>
  <si>
    <t>Annual Values from 2017 - 2050</t>
  </si>
  <si>
    <t>Consider using the EPA MOVES Vehicle Emission Modeling Software to estimate emission rates by mode and geographic / project area.</t>
  </si>
  <si>
    <t>USDOT provides Social Cost of Carbon (SCC) per metric ton of CO2</t>
  </si>
  <si>
    <t>Previous documents with estimates of social costs of carbon have been rescinded.</t>
  </si>
  <si>
    <t>GHG valuation provided should be based on domestic damage costs, rather than global. Annual estimates should be discounted at the same rate as other benefits and costs in the BCA.</t>
  </si>
  <si>
    <t>Fuel Costs</t>
  </si>
  <si>
    <t>Petroleum Product Prices</t>
  </si>
  <si>
    <t>Components of Selected Petroleum Product Prices</t>
  </si>
  <si>
    <t>Reference</t>
  </si>
  <si>
    <t>Low Oil Price Scenario</t>
  </si>
  <si>
    <t>High Oil Price Scenario</t>
  </si>
  <si>
    <t>Gasoline sales weighted-average price for all grades.  Includes Federal, State, and Local taxes.</t>
  </si>
  <si>
    <t> * Includes a 2-cent average local tax.</t>
  </si>
  <si>
    <t>Diesel fuel for on-road use.  Includes Federal and State taxes while excluding county and local taxes.</t>
  </si>
  <si>
    <t>http://www.eia.gov/forecasts/aeo/index.cfm</t>
  </si>
  <si>
    <t>Retail Gasoline Prices, $ per Gallon</t>
  </si>
  <si>
    <t>Retail Diesel Fuel Prices, $ per Gallon</t>
  </si>
  <si>
    <t>Real Growth in Gasoline Prices</t>
  </si>
  <si>
    <t>Real Growth in Diesel Fuel Prices</t>
  </si>
  <si>
    <t>Inflation Adjustment 2017 - 2017</t>
  </si>
  <si>
    <t>If you are using a Real Resources approach, use the above cost estimates, net of federal and state taxes.</t>
  </si>
  <si>
    <t>If you are using a Willingness-to-Pay approach, use market prices (gross of all taxes) to estimate user benefits, but net out changes in tax revenue in the BCA calculus.</t>
  </si>
  <si>
    <t>If you are using a $ per VMT fuel cost estimate, you may consider using the real growth rates above for future years.</t>
  </si>
  <si>
    <t>If you want to include variations in fuel prices in the sensitivity analysis, use the HIGH and LOW oil price scenarios defined by EIA.</t>
  </si>
  <si>
    <t>Vehicle Operating Costs</t>
  </si>
  <si>
    <t>Unit Costs - in 1997 dollars</t>
  </si>
  <si>
    <t>Data:</t>
  </si>
  <si>
    <t>Fuel Cost</t>
  </si>
  <si>
    <t>Tire Cost</t>
  </si>
  <si>
    <t>Repair and Maintenance Cost</t>
  </si>
  <si>
    <t>Vehicle Depreciable Value</t>
  </si>
  <si>
    <t>Oil Cost</t>
  </si>
  <si>
    <t>Units:</t>
  </si>
  <si>
    <t>$ per gallon</t>
  </si>
  <si>
    <t>$ per tire</t>
  </si>
  <si>
    <t>average cost per vehicle per 1,000 miles</t>
  </si>
  <si>
    <t>average depreciable value per vehicle</t>
  </si>
  <si>
    <t>$ per quart (includes cost of labor for changing oil)</t>
  </si>
  <si>
    <t>4-Tire Truck</t>
  </si>
  <si>
    <t>See 'FUEL COST' sheet</t>
  </si>
  <si>
    <t>6-Tire Truck</t>
  </si>
  <si>
    <t>3-4 Axle Truck</t>
  </si>
  <si>
    <t>4-Axle Combo</t>
  </si>
  <si>
    <t>5-Axle Combo</t>
  </si>
  <si>
    <t>Small Automobile</t>
  </si>
  <si>
    <t>Med/Lg Automobile</t>
  </si>
  <si>
    <t>HERS Technical Report, 2005</t>
  </si>
  <si>
    <t>https://www.fhwa.dot.gov/asset/hersst/pubs/tech/tech00.cfm</t>
  </si>
  <si>
    <t>Dollar Year</t>
  </si>
  <si>
    <t>Relevant CPI</t>
  </si>
  <si>
    <t>BLS Series CUUR0000SETC01</t>
  </si>
  <si>
    <t>BLS Series CUUR0000SETD</t>
  </si>
  <si>
    <t>BLS Series CUUR0000SS45021</t>
  </si>
  <si>
    <t>BLS Series CUUR0000SS47021</t>
  </si>
  <si>
    <t>Relevant Price Indices for VOC Escalation</t>
  </si>
  <si>
    <t>Series Item --&gt;</t>
  </si>
  <si>
    <t>Tires</t>
  </si>
  <si>
    <t>Motor oil, coolant, and fluids</t>
  </si>
  <si>
    <t>Motor vehicle maintenance and repair</t>
  </si>
  <si>
    <t>New trucks</t>
  </si>
  <si>
    <t>New cars</t>
  </si>
  <si>
    <t>Series ID --&gt;</t>
  </si>
  <si>
    <t>CUUR0000SETC01</t>
  </si>
  <si>
    <t>CUUR0000SS47021</t>
  </si>
  <si>
    <t>CUUR0000SETD</t>
  </si>
  <si>
    <t>CUUR0000SS45021</t>
  </si>
  <si>
    <t>CUUS0000SS45011</t>
  </si>
  <si>
    <t>Recommendations for INFRA (2017) (2016 dollars)</t>
  </si>
  <si>
    <t>See 'FUEL COSTS' sheet</t>
  </si>
  <si>
    <t>All vehicle operating costs - other than fuel - may be held constant in real terms.</t>
  </si>
  <si>
    <t>Depending on the traffic data available for your project, you may be able to use VOC consumption rate tables from the FHWA Highway Economic Requirements System (HERS) to estimate changes in fuel, tire, oil, etc. consumption.</t>
  </si>
  <si>
    <t>You may also consider using estimates of vehicle operating costs per mile from AAA:</t>
  </si>
  <si>
    <t>AAA, Your Driving Costs, How much are you really paying to drive?, 2017 Edition</t>
  </si>
  <si>
    <t>http://exchange.aaa.com</t>
  </si>
  <si>
    <t>AAA Composite Average Auto Fleet</t>
  </si>
  <si>
    <t>Operating Costs, Cents per mile</t>
  </si>
  <si>
    <t>Gas</t>
  </si>
  <si>
    <t>Include fuel taxes?</t>
  </si>
  <si>
    <t>Federal, state &amp; local taxes as percent of end-user price in 2017</t>
  </si>
  <si>
    <t>Maintenance</t>
  </si>
  <si>
    <t>EIA, AEO 2017, Components of Selected Petroleum Product Prices, United States</t>
  </si>
  <si>
    <t>Total Operating Costs, Cents per mile</t>
  </si>
  <si>
    <t>Ownership Costs, Dollars per year</t>
  </si>
  <si>
    <t>Full-Coverage Insurance</t>
  </si>
  <si>
    <t>License, Registration, Taxes</t>
  </si>
  <si>
    <t>Depreciation</t>
  </si>
  <si>
    <t>Finance Charge</t>
  </si>
  <si>
    <t>Total Ownership Costs, Dollars per year</t>
  </si>
  <si>
    <t>Total Operating Costs, $2017 per mile</t>
  </si>
  <si>
    <t>Total Ownership Costs, $2017 per mile</t>
  </si>
  <si>
    <t>Total Operating &amp; Ownership Costs, $2017 per mile</t>
  </si>
  <si>
    <t>Total Driving Costs, $2017 per mile</t>
  </si>
  <si>
    <t>Estimates of truck operating costs per mile are available from:</t>
  </si>
  <si>
    <t>American Transportation Research Institute (ATRI), An Analysis of the Operational Costs of Trucking: 2017 Update, October 2017</t>
  </si>
  <si>
    <t>http://atri-online.org/wp-content/uploads/2017/10/ATRI-Operational-Costs-of-Trucking-2017-10-2017.pdf</t>
  </si>
  <si>
    <t>Inflated to 2017</t>
  </si>
  <si>
    <t>Average Cost in 2016 in 2016 $$</t>
  </si>
  <si>
    <t>Vehicle-based</t>
  </si>
  <si>
    <t>Federal &amp; state taxes as percent of end-user price in 2016</t>
  </si>
  <si>
    <t>Truck / Trailer Lease or Purchase Payments</t>
  </si>
  <si>
    <t>Repair &amp; Maintenance</t>
  </si>
  <si>
    <t>Truck Insurance Premiums</t>
  </si>
  <si>
    <t>Permits &amp; Licenses</t>
  </si>
  <si>
    <t>Tolls</t>
  </si>
  <si>
    <t>Driver-based</t>
  </si>
  <si>
    <t>Driver Wages</t>
  </si>
  <si>
    <t>Driver Benefits</t>
  </si>
  <si>
    <t>Motor Carrier Costs, $2017 per mile</t>
  </si>
  <si>
    <t>Trucking Costs, $2017 per mile</t>
  </si>
  <si>
    <t>Inflation Adjustment 2016 - 2017</t>
  </si>
  <si>
    <t>Marginal External Costs</t>
  </si>
  <si>
    <t>Table V-22. 2000 Marginal External Costs for Noise (cents per mile)</t>
  </si>
  <si>
    <t>Rural Highways</t>
  </si>
  <si>
    <t>Urban Highways</t>
  </si>
  <si>
    <t>All Highways</t>
  </si>
  <si>
    <t>Middle</t>
  </si>
  <si>
    <t>Automobiles</t>
  </si>
  <si>
    <t>Pickups and Vans</t>
  </si>
  <si>
    <t>Buses</t>
  </si>
  <si>
    <t>Single Unit Trucks</t>
  </si>
  <si>
    <t>Combination Trucks</t>
  </si>
  <si>
    <t>All Vehicles</t>
  </si>
  <si>
    <t>Table V-23. 2000 Marginal External Costs for Congestion (cents per mile)</t>
  </si>
  <si>
    <t>Table V-24. 2000 Marginal External Costs for Crashes (cents per mile)</t>
  </si>
  <si>
    <t>Source: Federal Highway Administration, 1997 Federal Highway Cost Allocation Study, Tables V-22, V-23, and V-24</t>
  </si>
  <si>
    <t>https://www.fhwa.dot.gov/policy/otps/costallocation.cfm</t>
  </si>
  <si>
    <t>Table II-11. Trends and Projections of VMT by Vehicle Class (millions)</t>
  </si>
  <si>
    <t>2000 perc.</t>
  </si>
  <si>
    <t>Autos</t>
  </si>
  <si>
    <t>TOTAL</t>
  </si>
  <si>
    <t>Source: Federal Highway Administration, 1997 Federal Highway Cost Allocation Study, Table II-11</t>
  </si>
  <si>
    <t>Marginal External Costs - Additional Estimates used in some of our previous TIGER applications, in CENTS OF 2000 PER MILE</t>
  </si>
  <si>
    <t>Table 13. 2000 Pavement, Congestion, Crash, Air Pollution, and Noise Costs for Illustrative Vehicles Under Specific Conditions</t>
  </si>
  <si>
    <t>Vehicle Class/Highway Class</t>
  </si>
  <si>
    <t>CENTS per Mile</t>
  </si>
  <si>
    <t>Pavement</t>
  </si>
  <si>
    <t>Congestion</t>
  </si>
  <si>
    <t>Crash</t>
  </si>
  <si>
    <t>Air Pollution</t>
  </si>
  <si>
    <t>Noise</t>
  </si>
  <si>
    <t>Total</t>
  </si>
  <si>
    <t>Autos/Rural Interstate</t>
  </si>
  <si>
    <t>Autos/Urban Interstate</t>
  </si>
  <si>
    <t>40 kip 4-axle S.U. Truck/Rural Interstate</t>
  </si>
  <si>
    <t>40 kip 4-axle S.U. Truck/Urban Interstate</t>
  </si>
  <si>
    <t>60 kip 4-axle S.U. Truck/Rural Interstate</t>
  </si>
  <si>
    <t>60 kip 4-axle S.U. Truck/Urban Interstate</t>
  </si>
  <si>
    <t>60 kip 5-axle Comb/Rural Interstate</t>
  </si>
  <si>
    <t>60 kip 5-axle Comb/Urban Interstate</t>
  </si>
  <si>
    <t>80 kip 5-axle Comb/Rural Interstate</t>
  </si>
  <si>
    <t>80 kip 5-axle Comb/Urban Interstate</t>
  </si>
  <si>
    <t>Addendum to the 1997 Federal Highway Cost Allocation Study Final Report, May 2000</t>
  </si>
  <si>
    <t>NOTE: S.U. = Single Unit, Comb. = Combination; Air pollution costs are averages of costs of travel on all rural and urban highway classes, not just Interstate. Available data do not allow differences in air pollution costs for heavy truck classes to be distinguished.</t>
  </si>
  <si>
    <t>Recommendations for INFRA 2018/2019 - Marginal Costs, in 2017 Dollars</t>
  </si>
  <si>
    <t>External Costs of Additional Automobile Use</t>
  </si>
  <si>
    <t>$ per vmt</t>
  </si>
  <si>
    <t>Accidents</t>
  </si>
  <si>
    <t>Inflation Adjustment 2000 - 2017</t>
  </si>
  <si>
    <t>External Costs of Additional Light-Truck Use (Pickups and Vans)</t>
  </si>
  <si>
    <t>External Costs of Additional Single Unit Truck Use</t>
  </si>
  <si>
    <t>External Costs of Additional Combination Truck Use</t>
  </si>
  <si>
    <t>Use the percent VMT in table II-11 to estimate average marginal external costs from the above table if you have no information on the vehicle mix.</t>
  </si>
  <si>
    <t>These are marginal cost estimates to be applied to changes in VMT (e.g., due to modal diversion), not to total VMT.</t>
  </si>
  <si>
    <t>Also consider the following alternative sources:</t>
  </si>
  <si>
    <t>Parry, Ian W. H., Margaret Walls, and Winston Harrington, “Automobile Externalities and Policies”, Resources For the Future, January 2007</t>
  </si>
  <si>
    <t>Mark Delucchi and Don McCubbin, External Costs of Transport in the U.S.,  in Handbook of Transport Economics, ed. by A. de Palma, R. Lindsey, E. Quinet, and R. Vickerman, Edward Elgar Publishing Ltd., 2010</t>
  </si>
  <si>
    <t>Inflation Adjustment Values</t>
  </si>
  <si>
    <t>Recommended for INFRA 2018/2019</t>
  </si>
  <si>
    <t>BCA Guidance on Inflation Adjustments</t>
  </si>
  <si>
    <t>https://www.transportation.gov/office-policy/transportation-policy/benefit-cost-analysis-guidance</t>
  </si>
  <si>
    <t>USDOT BCA Guidance</t>
  </si>
  <si>
    <t>Calculated using Bureau of Economic Analysis, National Income and Product Accounts, Table 1.1.9, “Implicit Price Deflators for Gross Domestic Product” (March 2018)</t>
  </si>
  <si>
    <t>Full name(s)</t>
  </si>
  <si>
    <t>Common name</t>
  </si>
  <si>
    <t>Quantity (lb)</t>
  </si>
  <si>
    <t>Quantity (kg)</t>
  </si>
  <si>
    <t>long ton, weight ton, gross ton</t>
  </si>
  <si>
    <t>"ton" (UK)</t>
  </si>
  <si>
    <t>Used in countries such as the United Kingdom that formerly used the Imperial system</t>
  </si>
  <si>
    <t>short ton, net ton</t>
  </si>
  <si>
    <t>"ton" (US)</t>
  </si>
  <si>
    <t>Used in North America</t>
  </si>
  <si>
    <t>tonne</t>
  </si>
  <si>
    <t>"metric ton"</t>
  </si>
  <si>
    <t>Defined in the International System of Units</t>
  </si>
  <si>
    <t>http://en.wikipedia.org/wiki/Ton</t>
  </si>
  <si>
    <t>Verified 01/08/2019</t>
  </si>
  <si>
    <t>Price Indices &amp; Cost Escalation</t>
  </si>
  <si>
    <t>ANNUAL DATA</t>
  </si>
  <si>
    <t>CPI - All items in U.S. city average, all urban consumers, not seasonally adjusted; CUUR0000SA0, CUUS0000SA0; ANNUAL AVERAGE</t>
  </si>
  <si>
    <t>https://www.bls.gov/cpi/</t>
  </si>
  <si>
    <t>PPI - All commodities, not seasonally adjusted; WPU00000000; ANNUAL AVERAGE</t>
  </si>
  <si>
    <t>https://www.bls.gov/ppi/</t>
  </si>
  <si>
    <t>Employment Cost Index, DECEMBER 2005 = 100, CONSTANT DOLLARS</t>
  </si>
  <si>
    <t>Total compensation, all civilian workers, not seasonally adjusted</t>
  </si>
  <si>
    <t>March</t>
  </si>
  <si>
    <t>June</t>
  </si>
  <si>
    <t>September</t>
  </si>
  <si>
    <t>December</t>
  </si>
  <si>
    <t>Annual (simple average)</t>
  </si>
  <si>
    <t>http://www.bls.gov/web/eci/ecconstnaics.txt</t>
  </si>
  <si>
    <t>Table 1.1.9. Implicit Price Deflators for Gross Domestic Product (Not Currently Used - Latest Version Updates Base Value)</t>
  </si>
  <si>
    <t>[Index numbers, 2012=100]</t>
  </si>
  <si>
    <t>Last Revised on: December 21, 2018 - Next Release Date January 30, 2019</t>
  </si>
  <si>
    <t>Gross domestic product</t>
  </si>
  <si>
    <t>Personal consumption expenditures</t>
  </si>
  <si>
    <t xml:space="preserve">  Goods</t>
  </si>
  <si>
    <t xml:space="preserve">    Durable goods</t>
  </si>
  <si>
    <t xml:space="preserve">    Nondurable goods</t>
  </si>
  <si>
    <t xml:space="preserve">  Services</t>
  </si>
  <si>
    <t>Gross private domestic investment</t>
  </si>
  <si>
    <t xml:space="preserve">  Fixed investment</t>
  </si>
  <si>
    <t xml:space="preserve">    Nonresidential</t>
  </si>
  <si>
    <t xml:space="preserve">      Structures</t>
  </si>
  <si>
    <t xml:space="preserve">      Equipment</t>
  </si>
  <si>
    <t xml:space="preserve">      Intellectual property products</t>
  </si>
  <si>
    <t xml:space="preserve">    Residential</t>
  </si>
  <si>
    <t xml:space="preserve">  Change in private inventories</t>
  </si>
  <si>
    <t>---</t>
  </si>
  <si>
    <t>Net exports of goods and services</t>
  </si>
  <si>
    <t xml:space="preserve">  Exports</t>
  </si>
  <si>
    <t xml:space="preserve">    Goods</t>
  </si>
  <si>
    <t xml:space="preserve">    Services</t>
  </si>
  <si>
    <t xml:space="preserve">  Imports</t>
  </si>
  <si>
    <t>Government consumption expenditures and gross investment</t>
  </si>
  <si>
    <t xml:space="preserve">  Federal</t>
  </si>
  <si>
    <t xml:space="preserve">    National defense</t>
  </si>
  <si>
    <t xml:space="preserve">    Nondefense</t>
  </si>
  <si>
    <t xml:space="preserve">  State and local</t>
  </si>
  <si>
    <t>Addendum:</t>
  </si>
  <si>
    <t/>
  </si>
  <si>
    <t xml:space="preserve">  Gross national product</t>
  </si>
  <si>
    <t>http://www.bea.gov/iTable/iTable.cfm?ReqID=9&amp;step=1#reqid=9&amp;step=1&amp;isuri=1</t>
  </si>
  <si>
    <t>MONTHLY DATA</t>
  </si>
  <si>
    <t>Consumer Price Index - NOT SEASONALLY ADJUSTED</t>
  </si>
  <si>
    <t>Jan.</t>
  </si>
  <si>
    <t>Feb.</t>
  </si>
  <si>
    <t>Mar.</t>
  </si>
  <si>
    <t>Apr.</t>
  </si>
  <si>
    <t>May</t>
  </si>
  <si>
    <t>July</t>
  </si>
  <si>
    <t>Aug.</t>
  </si>
  <si>
    <t>Sep.</t>
  </si>
  <si>
    <t>Oct.</t>
  </si>
  <si>
    <t>Nov.</t>
  </si>
  <si>
    <t>Dec.</t>
  </si>
  <si>
    <t xml:space="preserve"> Avg</t>
  </si>
  <si>
    <t>HALF 1</t>
  </si>
  <si>
    <t>HALF 2</t>
  </si>
  <si>
    <t>Dec-Dec</t>
  </si>
  <si>
    <t>Avg-Avg</t>
  </si>
  <si>
    <t>All Urban Consumers - (CPI-U)</t>
  </si>
  <si>
    <t>U.S. city average</t>
  </si>
  <si>
    <t>All items</t>
  </si>
  <si>
    <t>1982-84=100</t>
  </si>
  <si>
    <t>CUUR0000SA0</t>
  </si>
  <si>
    <t>Consumer Price Index - SEASONALLY ADJUSTED</t>
  </si>
  <si>
    <t>Annual</t>
  </si>
  <si>
    <t>CUSR0000SA0</t>
  </si>
  <si>
    <t>Producer Price Index</t>
  </si>
  <si>
    <t>WPU00000000</t>
  </si>
  <si>
    <t>Not Seasonally Adjusted</t>
  </si>
  <si>
    <t>All commodities</t>
  </si>
  <si>
    <t>1982=100</t>
  </si>
  <si>
    <t>Preliminary</t>
  </si>
  <si>
    <t>Consumer Price Index - All Urban Consumers</t>
  </si>
  <si>
    <t>Series Id:</t>
  </si>
  <si>
    <t>Area:</t>
  </si>
  <si>
    <t>Item:</t>
  </si>
  <si>
    <t>Base Period:</t>
  </si>
  <si>
    <t>Years:</t>
  </si>
  <si>
    <t>1997 to 2018</t>
  </si>
  <si>
    <t>DECEMBER 1983=100</t>
  </si>
  <si>
    <t>Annual Energy Outlook 2019 Release, all in $2018 per gallon</t>
  </si>
  <si>
    <t>AEO 2019 Forecast of Retail Gasoline Price</t>
  </si>
  <si>
    <t>AEO 2019 Forecast of Retail Diesel Fuel Price</t>
  </si>
  <si>
    <t>AEO 2019 Federal &amp; State Taxes, 
Gasoline (All Sectors)*</t>
  </si>
  <si>
    <t>AEO 2019 Federal &amp; State Taxes, 
Diesel Fuel (Transportation)</t>
  </si>
  <si>
    <t>Average 2017-2050</t>
  </si>
  <si>
    <t>Growth Rate 2017-2050</t>
  </si>
  <si>
    <t>Recommendations for BUILD 2019 (2017 dollars)</t>
  </si>
  <si>
    <t>Inflation Adjustment 2017 - 2018</t>
  </si>
  <si>
    <t>Updated June 2019</t>
  </si>
  <si>
    <t>CO</t>
  </si>
  <si>
    <t>CO2</t>
  </si>
  <si>
    <t>NOX</t>
  </si>
  <si>
    <t>PM10</t>
  </si>
  <si>
    <t>PM2.5</t>
  </si>
  <si>
    <t>VOC</t>
  </si>
  <si>
    <t>SO2</t>
  </si>
  <si>
    <t>Source: MOVES run based on climate of Johnson County, KS, in Kansas City metro area, as "representative" for national averages</t>
  </si>
  <si>
    <t>Base Year</t>
  </si>
  <si>
    <t xml:space="preserve">First Year of Benefit </t>
  </si>
  <si>
    <t xml:space="preserve">Discount Factor </t>
  </si>
  <si>
    <t>Sensitivity Index</t>
  </si>
  <si>
    <t>Project Costs</t>
  </si>
  <si>
    <t xml:space="preserve">Demand Volume Projection </t>
  </si>
  <si>
    <t>No-Build Case</t>
  </si>
  <si>
    <t>Build Case</t>
  </si>
  <si>
    <t>Grams per Ton</t>
  </si>
  <si>
    <t>grams/ton</t>
  </si>
  <si>
    <t>Known</t>
  </si>
  <si>
    <t xml:space="preserve">Active Study Period </t>
  </si>
  <si>
    <t>Residual Value of Capital Assets</t>
  </si>
  <si>
    <t xml:space="preserve">Useful Life </t>
  </si>
  <si>
    <t xml:space="preserve">Benefit Period </t>
  </si>
  <si>
    <t>Capital Cost</t>
  </si>
  <si>
    <t>Undiscounted Residual Value of Assets</t>
  </si>
  <si>
    <t xml:space="preserve">Residual Value </t>
  </si>
  <si>
    <t>Vehicle Speed</t>
  </si>
  <si>
    <t xml:space="preserve">Benefit-Cost Analysis </t>
  </si>
  <si>
    <t xml:space="preserve">Benefit-Cost Analysis Results </t>
  </si>
  <si>
    <t xml:space="preserve">Undiscounted </t>
  </si>
  <si>
    <t>Discounted at 7%</t>
  </si>
  <si>
    <t>Benefit Category</t>
  </si>
  <si>
    <t>Total Benefits</t>
  </si>
  <si>
    <t>Capital Costs</t>
  </si>
  <si>
    <t>Total Costs</t>
  </si>
  <si>
    <t>Net Present Value (NPV)</t>
  </si>
  <si>
    <t>Benefit Cost Ratio (BCR)</t>
  </si>
  <si>
    <t xml:space="preserve">Internal Rate of Return </t>
  </si>
  <si>
    <t xml:space="preserve">Return on Investment </t>
  </si>
  <si>
    <t>Residual Value of Assets</t>
  </si>
  <si>
    <t>Reporting Tables</t>
  </si>
  <si>
    <t>Current Status or Baseline &amp; Problems to be Addressed</t>
  </si>
  <si>
    <t>Changes to Baseline / Alternatives</t>
  </si>
  <si>
    <t>Type of Impacts</t>
  </si>
  <si>
    <t>Description</t>
  </si>
  <si>
    <t>Undiscounted Net Benefits</t>
  </si>
  <si>
    <t>Calendar Year</t>
  </si>
  <si>
    <t>Incremental O&amp;M Costs</t>
  </si>
  <si>
    <t>Merit Criteria</t>
  </si>
  <si>
    <t>Impact Categories</t>
  </si>
  <si>
    <t>Monetized</t>
  </si>
  <si>
    <t>Qualitative</t>
  </si>
  <si>
    <t>Yes</t>
  </si>
  <si>
    <t>Variable Name</t>
  </si>
  <si>
    <t>Real Discount Factor</t>
  </si>
  <si>
    <t>Base Year of Analysis</t>
  </si>
  <si>
    <t>Project Development and Construction</t>
  </si>
  <si>
    <t>First Year of Benefits</t>
  </si>
  <si>
    <t>Years of Benefits</t>
  </si>
  <si>
    <t>Grams per Short Ton</t>
  </si>
  <si>
    <t>grams</t>
  </si>
  <si>
    <t>General Assumptions Used in the Analysis</t>
  </si>
  <si>
    <t>Category</t>
  </si>
  <si>
    <t xml:space="preserve">Variable Name </t>
  </si>
  <si>
    <t>Emission Assumptions</t>
  </si>
  <si>
    <t>State of Good Repair</t>
  </si>
  <si>
    <r>
      <t>Expected Effects on Benefit Categories</t>
    </r>
    <r>
      <rPr>
        <sz val="9"/>
        <rFont val="Arial"/>
        <family val="2"/>
        <scheme val="minor"/>
      </rPr>
      <t> </t>
    </r>
  </si>
  <si>
    <t>Safety</t>
  </si>
  <si>
    <t>End Year of Benefits</t>
  </si>
  <si>
    <t xml:space="preserve">Build </t>
  </si>
  <si>
    <t xml:space="preserve">Remaining Useful Life At the End of Benefit Period </t>
  </si>
  <si>
    <t>Disclaimer</t>
  </si>
  <si>
    <t>By retaining and using this Model, the Recipients represent to HDR that they are capable of making their own independent assessment as to the validity of the assumptions, data and results contained in this Model.</t>
  </si>
  <si>
    <t>The Model may be a development version and may not be complete or, in the event that development of the Model has concluded, material events may have occurred since completion which are not reflected in the Model. In consultation with the client, HDR used what was deemed the best available data at the time of analysis and makes no warranties as to the accuracy of this information or completeness of the Model.</t>
  </si>
  <si>
    <t>Payback Period (years)</t>
  </si>
  <si>
    <t>Discounted Net Benefits at 7%</t>
  </si>
  <si>
    <t>Net Benefits</t>
  </si>
  <si>
    <t>Cumulative Net Benefits</t>
  </si>
  <si>
    <t>Improved Safety</t>
  </si>
  <si>
    <t>For the purposes of the BCR, O&amp;M is considered a negative benefit and only up-front Project Capital Costs are used in the denominator.</t>
  </si>
  <si>
    <t>Assumptions Used in the Estimation of Monetized Reduced Emissions</t>
  </si>
  <si>
    <t>Assumptions</t>
  </si>
  <si>
    <t>Year to which all cash flows are discounted for the NPV</t>
  </si>
  <si>
    <t>Final Year of Benefits</t>
  </si>
  <si>
    <t>Table 1.1.9. Implicit Price Deflators for Gross Domestic Product</t>
  </si>
  <si>
    <t>[Index numbers, 2012=100] Seasonally adjusted</t>
  </si>
  <si>
    <t>Bureau of Economic Analysis</t>
  </si>
  <si>
    <t>Last Revised on: May 30, 2019 - Next Release Date June 27, 2019</t>
  </si>
  <si>
    <t>Line</t>
  </si>
  <si>
    <t>2017</t>
  </si>
  <si>
    <t>2018</t>
  </si>
  <si>
    <t>2019</t>
  </si>
  <si>
    <t>Q1</t>
  </si>
  <si>
    <t>Q2</t>
  </si>
  <si>
    <t>Q3</t>
  </si>
  <si>
    <t>Q4</t>
  </si>
  <si>
    <t>1</t>
  </si>
  <si>
    <t xml:space="preserve">        Gross domestic product</t>
  </si>
  <si>
    <t>2</t>
  </si>
  <si>
    <t>3</t>
  </si>
  <si>
    <t>4</t>
  </si>
  <si>
    <t xml:space="preserve">        Durable goods</t>
  </si>
  <si>
    <t>5</t>
  </si>
  <si>
    <t xml:space="preserve">        Nondurable goods</t>
  </si>
  <si>
    <t>6</t>
  </si>
  <si>
    <t>7</t>
  </si>
  <si>
    <t>8</t>
  </si>
  <si>
    <t xml:space="preserve">    Fixed investment</t>
  </si>
  <si>
    <t>9</t>
  </si>
  <si>
    <t xml:space="preserve">        Nonresidential</t>
  </si>
  <si>
    <t>10</t>
  </si>
  <si>
    <t xml:space="preserve">            Structures</t>
  </si>
  <si>
    <t>11</t>
  </si>
  <si>
    <t xml:space="preserve">            Equipment</t>
  </si>
  <si>
    <t>12</t>
  </si>
  <si>
    <t xml:space="preserve">            Intellectual property products</t>
  </si>
  <si>
    <t>13</t>
  </si>
  <si>
    <t xml:space="preserve">        Residential</t>
  </si>
  <si>
    <t>14</t>
  </si>
  <si>
    <t xml:space="preserve">    Change in private inventories</t>
  </si>
  <si>
    <t>15</t>
  </si>
  <si>
    <t>16</t>
  </si>
  <si>
    <t xml:space="preserve">    Exports</t>
  </si>
  <si>
    <t>17</t>
  </si>
  <si>
    <t xml:space="preserve">        Goods</t>
  </si>
  <si>
    <t>18</t>
  </si>
  <si>
    <t xml:space="preserve">        Services</t>
  </si>
  <si>
    <t>19</t>
  </si>
  <si>
    <t xml:space="preserve">    Imports</t>
  </si>
  <si>
    <t>20</t>
  </si>
  <si>
    <t>21</t>
  </si>
  <si>
    <t>22</t>
  </si>
  <si>
    <t>23</t>
  </si>
  <si>
    <t xml:space="preserve">    Federal</t>
  </si>
  <si>
    <t>24</t>
  </si>
  <si>
    <t xml:space="preserve">        National defense</t>
  </si>
  <si>
    <t>25</t>
  </si>
  <si>
    <t xml:space="preserve">        Nondefense</t>
  </si>
  <si>
    <t>26</t>
  </si>
  <si>
    <t xml:space="preserve">    State and local</t>
  </si>
  <si>
    <t>27</t>
  </si>
  <si>
    <t xml:space="preserve">    Gross national product</t>
  </si>
  <si>
    <t>Inflation Adjustments</t>
  </si>
  <si>
    <t>Annual CPI (simple averages)</t>
  </si>
  <si>
    <t>Inflation Adjustment (2017-2019)</t>
  </si>
  <si>
    <t xml:space="preserve">Undiscounted Total </t>
  </si>
  <si>
    <t xml:space="preserve">Total </t>
  </si>
  <si>
    <t xml:space="preserve">By Truck </t>
  </si>
  <si>
    <t>By Truck</t>
  </si>
  <si>
    <t>Rail Bridge</t>
  </si>
  <si>
    <t xml:space="preserve">According to Project Schedule </t>
  </si>
  <si>
    <t xml:space="preserve">Calculated Value </t>
  </si>
  <si>
    <t>Construction Inputs</t>
  </si>
  <si>
    <t>Rail Bridge Useful Life</t>
  </si>
  <si>
    <t xml:space="preserve">Roadway Bridge </t>
  </si>
  <si>
    <t>Roadway Bridge</t>
  </si>
  <si>
    <t>Traffic Using 3rd St NE Bridge</t>
  </si>
  <si>
    <t>ADT</t>
  </si>
  <si>
    <t>2017 Average Daily Traffic Counts</t>
  </si>
  <si>
    <t>2037 Average Daily Traffic Count Forecast</t>
  </si>
  <si>
    <t xml:space="preserve">Truck Percent Share in the Traffic </t>
  </si>
  <si>
    <t>Feet per Mile</t>
  </si>
  <si>
    <t>feet/mile</t>
  </si>
  <si>
    <t xml:space="preserve">Bridge Length </t>
  </si>
  <si>
    <t>feet</t>
  </si>
  <si>
    <t>Over the Roadway Bridge</t>
  </si>
  <si>
    <t>On the Detour Road</t>
  </si>
  <si>
    <t>mph</t>
  </si>
  <si>
    <t>Flooding Inputs (Based on the 2011 Flood)</t>
  </si>
  <si>
    <t>Days</t>
  </si>
  <si>
    <t>Freight Trains</t>
  </si>
  <si>
    <t xml:space="preserve">Average Daily Train Counts </t>
  </si>
  <si>
    <t>trains/day</t>
  </si>
  <si>
    <t>Train Speed</t>
  </si>
  <si>
    <t>Passenger Trains</t>
  </si>
  <si>
    <t>Amtrak Annual Operating Days</t>
  </si>
  <si>
    <t>days/year</t>
  </si>
  <si>
    <t>NBI Inventory provides info on detour length in miles for the case when bridge is closed. It is assumed the detour length is the same in the case of a flooding event.</t>
  </si>
  <si>
    <t>National Bridge Inventory and NDDOT data.</t>
  </si>
  <si>
    <t>National Bridge Inventory.</t>
  </si>
  <si>
    <t>Value of Time for Automobile Driver and Passenger</t>
  </si>
  <si>
    <t>2017$/hr</t>
  </si>
  <si>
    <t>Value of Time for Truck Driver</t>
  </si>
  <si>
    <t xml:space="preserve">Auto Occupancy </t>
  </si>
  <si>
    <t>Truck Occupancy</t>
  </si>
  <si>
    <t>persons/vehicle</t>
  </si>
  <si>
    <t>US DOT, 2018 BCA Guidance and Federal Highway Administration Highway Statistics 2016, Table VM1.</t>
  </si>
  <si>
    <t xml:space="preserve">% Growth </t>
  </si>
  <si>
    <t>hours/trip</t>
  </si>
  <si>
    <t>Total Travel Time Costs</t>
  </si>
  <si>
    <t xml:space="preserve">Truck Occupancy </t>
  </si>
  <si>
    <t>Days per Year</t>
  </si>
  <si>
    <t xml:space="preserve">Known </t>
  </si>
  <si>
    <t>Distance (miles)</t>
  </si>
  <si>
    <t>ADT Counts</t>
  </si>
  <si>
    <t>Auto % Share</t>
  </si>
  <si>
    <t>Truck % Share</t>
  </si>
  <si>
    <t>Vehicle Speed (mph)</t>
  </si>
  <si>
    <t>Vehicles</t>
  </si>
  <si>
    <t>Vehicle Travel Time</t>
  </si>
  <si>
    <t xml:space="preserve">By truck </t>
  </si>
  <si>
    <t xml:space="preserve">Personal Travel Time </t>
  </si>
  <si>
    <t>Travel Time Costs</t>
  </si>
  <si>
    <t>Annual Operating Days</t>
  </si>
  <si>
    <t>Operating Cost Savings</t>
  </si>
  <si>
    <t>Freight Tons per Carload</t>
  </si>
  <si>
    <t>tons/car</t>
  </si>
  <si>
    <t xml:space="preserve">Carloads per Train </t>
  </si>
  <si>
    <t xml:space="preserve">cars/train </t>
  </si>
  <si>
    <t>Annual Train Counts</t>
  </si>
  <si>
    <t xml:space="preserve">Freight Trains </t>
  </si>
  <si>
    <t xml:space="preserve">Vehicle Detour Length if Bridge Closed Due to Flooding - No Build </t>
  </si>
  <si>
    <t>Avoided Lost Train Services</t>
  </si>
  <si>
    <t>Annual Growth of Passenger Volume</t>
  </si>
  <si>
    <t>Assumed no growth in passenger volumes</t>
  </si>
  <si>
    <t xml:space="preserve">Rail Bridge </t>
  </si>
  <si>
    <t>Hours per Day</t>
  </si>
  <si>
    <t>hours/day</t>
  </si>
  <si>
    <t>Tons per Carload</t>
  </si>
  <si>
    <t xml:space="preserve">Cars per Train </t>
  </si>
  <si>
    <t>Residual Value of Roadway Bridge</t>
  </si>
  <si>
    <t>Residual Value of Rail Bridge</t>
  </si>
  <si>
    <t>Assume 30 years of benefits</t>
  </si>
  <si>
    <t>Roadway Bridge Useful Life</t>
  </si>
  <si>
    <t>Speed Limit for 3rd St NE Bridge</t>
  </si>
  <si>
    <t>Speed Limit for N Broadway Road</t>
  </si>
  <si>
    <t>Assumed</t>
  </si>
  <si>
    <t>Operating Days per Year</t>
  </si>
  <si>
    <t xml:space="preserve">Duration of Bridge Closure </t>
  </si>
  <si>
    <t>Freight Train Speed (mph)</t>
  </si>
  <si>
    <t>Federal Railway Association, Accident Prediction Report for Public at-Grade Highway-Rail Crossings for Minot, June 2019.</t>
  </si>
  <si>
    <t xml:space="preserve">Average Value of Freight </t>
  </si>
  <si>
    <t>2017$/ton</t>
  </si>
  <si>
    <t>Rerouted Trains</t>
  </si>
  <si>
    <t>Cancelled Trains</t>
  </si>
  <si>
    <t>Rerouted Trains/day</t>
  </si>
  <si>
    <t>Cancelled Trains/day</t>
  </si>
  <si>
    <t xml:space="preserve">Annual Train Counts Affected by Flooding </t>
  </si>
  <si>
    <t>Average Value of Freight (2017$/ton)</t>
  </si>
  <si>
    <t>Annual Detour Length (miles) - Rerouted Trains</t>
  </si>
  <si>
    <t>Annual Hours from Detour (hours) - Rerouted Trains</t>
  </si>
  <si>
    <t>Annual Freight Volumes Lost</t>
  </si>
  <si>
    <t>Annual Freight Shipment Volumes Affected (tons/year)</t>
  </si>
  <si>
    <t xml:space="preserve">North Dakota DOT, 2040 North Dakota State Rail Plan, 2017. Calculated through, inbound, outbound and intra freight rail composition based on North Dakota rail traffic as follows: 48% through trains, 48% outbound trains, 8% inbound trains and 3% intra trains. Assumed through trains and 50% of the rest of the traffic will be rerouted, 50% of the rest of the traffic will be cancelled during a flooding event. </t>
  </si>
  <si>
    <t>2017$/VMT</t>
  </si>
  <si>
    <t>Truck Operating Costs (2017$/VMT)</t>
  </si>
  <si>
    <t>Operating Costs</t>
  </si>
  <si>
    <t>Average Cost per Accident Injury</t>
  </si>
  <si>
    <t>yearID</t>
  </si>
  <si>
    <t>sourceTypeName</t>
  </si>
  <si>
    <t>Passenger Car</t>
  </si>
  <si>
    <t>fuelTypeDesc</t>
  </si>
  <si>
    <t>Gasoline</t>
  </si>
  <si>
    <t>Diesel</t>
  </si>
  <si>
    <t>Row Labels</t>
  </si>
  <si>
    <t>Truck Emissions used Combination long-haul truck, Combination short-haul truck, Single unit long-haul truck, and Single unit short-haul truck, with diesel as the fuel</t>
  </si>
  <si>
    <t>Auto Emissions used Passenger cars, with gasoline as the fuel</t>
  </si>
  <si>
    <t>Vehicle Emission Factors</t>
  </si>
  <si>
    <t>Speed Bin</t>
  </si>
  <si>
    <t>Passenger Car Emission Factors (grams/mile)</t>
  </si>
  <si>
    <t>Truck Emission Factors (grams/mile)</t>
  </si>
  <si>
    <t>2017$/hour</t>
  </si>
  <si>
    <t xml:space="preserve">Passenger Trains </t>
  </si>
  <si>
    <t>Annual Passenger Volume Impacted</t>
  </si>
  <si>
    <t>Inflation Adjustment (2017-2018)</t>
  </si>
  <si>
    <t>Damage Costs for Carbon Dioxide Emissions (2017$/ton)</t>
  </si>
  <si>
    <t xml:space="preserve">Year </t>
  </si>
  <si>
    <t>Source/Comment</t>
  </si>
  <si>
    <t>US DOT, BCA Guidance December 2018; The Safer Affordable Fuel-Efficient Vehicles Rule for MY2021-MY2026 Passenger Cars and Light Trucks Preliminary Regulatory Impact Analysis (October 2018)</t>
  </si>
  <si>
    <t xml:space="preserve">Pollutant </t>
  </si>
  <si>
    <t>Nitrogen oxides (NOx)</t>
  </si>
  <si>
    <t>Volatile Organic Compounds (VOCs)</t>
  </si>
  <si>
    <t>Particulate matter (PM)</t>
  </si>
  <si>
    <t>Sulfur dioxide (SO₂)</t>
  </si>
  <si>
    <t>Source/comment</t>
  </si>
  <si>
    <t>US DOT, BCA Guidance December 2018; The Safer Affordable Fuel-Efficient Vehicles Rule for MY2021-MY2026 Passenger Cars and Light Trucks Preliminary Regulatory Impact Analysis (October 2018)”.</t>
  </si>
  <si>
    <t>Passenger Car Emissions (grams/mile)</t>
  </si>
  <si>
    <t>Truck Emissions (grams/mile)</t>
  </si>
  <si>
    <t xml:space="preserve">Reduced Emissions </t>
  </si>
  <si>
    <r>
      <t>NO</t>
    </r>
    <r>
      <rPr>
        <vertAlign val="subscript"/>
        <sz val="8"/>
        <color theme="1"/>
        <rFont val="Arial"/>
        <family val="2"/>
        <scheme val="minor"/>
      </rPr>
      <t>X</t>
    </r>
    <r>
      <rPr>
        <sz val="11"/>
        <color theme="1"/>
        <rFont val="Arial"/>
        <family val="2"/>
        <scheme val="minor"/>
      </rPr>
      <t xml:space="preserve"> Emission Factor- Truck</t>
    </r>
  </si>
  <si>
    <t>VOC Emission Factor- Truck</t>
  </si>
  <si>
    <t>PM Emission Factor- Truck</t>
  </si>
  <si>
    <r>
      <t>SO</t>
    </r>
    <r>
      <rPr>
        <vertAlign val="subscript"/>
        <sz val="8"/>
        <color theme="1"/>
        <rFont val="Arial"/>
        <family val="2"/>
        <scheme val="minor"/>
      </rPr>
      <t>2</t>
    </r>
    <r>
      <rPr>
        <sz val="11"/>
        <color theme="1"/>
        <rFont val="Arial"/>
        <family val="2"/>
        <scheme val="minor"/>
      </rPr>
      <t xml:space="preserve"> Emission Factor-Truck </t>
    </r>
  </si>
  <si>
    <r>
      <t>CO</t>
    </r>
    <r>
      <rPr>
        <vertAlign val="subscript"/>
        <sz val="8"/>
        <color theme="1"/>
        <rFont val="Arial"/>
        <family val="2"/>
        <scheme val="minor"/>
      </rPr>
      <t>2</t>
    </r>
    <r>
      <rPr>
        <sz val="11"/>
        <color theme="1"/>
        <rFont val="Arial"/>
        <family val="2"/>
        <scheme val="minor"/>
      </rPr>
      <t xml:space="preserve"> Emission Factor- Truck </t>
    </r>
  </si>
  <si>
    <r>
      <t>NO</t>
    </r>
    <r>
      <rPr>
        <vertAlign val="subscript"/>
        <sz val="8"/>
        <color theme="1"/>
        <rFont val="Arial"/>
        <family val="2"/>
        <scheme val="minor"/>
      </rPr>
      <t>X</t>
    </r>
    <r>
      <rPr>
        <sz val="11"/>
        <color theme="1"/>
        <rFont val="Arial"/>
        <family val="2"/>
        <scheme val="minor"/>
      </rPr>
      <t xml:space="preserve"> Cost Per Ton</t>
    </r>
  </si>
  <si>
    <t>VOC Cost Per Ton</t>
  </si>
  <si>
    <t>PM Cost Per Ton</t>
  </si>
  <si>
    <r>
      <t>SO</t>
    </r>
    <r>
      <rPr>
        <vertAlign val="subscript"/>
        <sz val="8"/>
        <color theme="1"/>
        <rFont val="Arial"/>
        <family val="2"/>
        <scheme val="minor"/>
      </rPr>
      <t>2</t>
    </r>
    <r>
      <rPr>
        <sz val="11"/>
        <color theme="1"/>
        <rFont val="Arial"/>
        <family val="2"/>
        <scheme val="minor"/>
      </rPr>
      <t xml:space="preserve"> Cost Per Ton</t>
    </r>
  </si>
  <si>
    <r>
      <t>CO</t>
    </r>
    <r>
      <rPr>
        <vertAlign val="subscript"/>
        <sz val="8"/>
        <color theme="1"/>
        <rFont val="Arial"/>
        <family val="2"/>
        <scheme val="minor"/>
      </rPr>
      <t>2</t>
    </r>
    <r>
      <rPr>
        <sz val="11"/>
        <color theme="1"/>
        <rFont val="Arial"/>
        <family val="2"/>
        <scheme val="minor"/>
      </rPr>
      <t xml:space="preserve"> Cost Per Ton</t>
    </r>
  </si>
  <si>
    <t>grams/mile</t>
  </si>
  <si>
    <t>By Passenger Car</t>
  </si>
  <si>
    <t xml:space="preserve">Passenger Car Occupancy </t>
  </si>
  <si>
    <t>Passenger Car Operating Costs (2017$/VMT)</t>
  </si>
  <si>
    <t>Vehicle Operating Costs - Passenger Car</t>
  </si>
  <si>
    <t>Vehicle Operating Costs - Truck</t>
  </si>
  <si>
    <t>NOX Emission Factor - Passenger Car</t>
  </si>
  <si>
    <t>VOC Emission Factor - Passenger Car</t>
  </si>
  <si>
    <t>PM Emission Factor - Passenger Car</t>
  </si>
  <si>
    <t>SO2 Emission Factor - Passenger Car</t>
  </si>
  <si>
    <t>CO2 Emission Factor- Passenger Car</t>
  </si>
  <si>
    <t xml:space="preserve">By Passenger Car </t>
  </si>
  <si>
    <t xml:space="preserve">Passenger Car Emissions </t>
  </si>
  <si>
    <r>
      <t>NO</t>
    </r>
    <r>
      <rPr>
        <vertAlign val="subscript"/>
        <sz val="8"/>
        <color theme="1"/>
        <rFont val="Arial"/>
        <family val="2"/>
        <scheme val="minor"/>
      </rPr>
      <t>X</t>
    </r>
  </si>
  <si>
    <t xml:space="preserve">VOC </t>
  </si>
  <si>
    <t>PM</t>
  </si>
  <si>
    <r>
      <t>SO</t>
    </r>
    <r>
      <rPr>
        <vertAlign val="subscript"/>
        <sz val="8"/>
        <color theme="1"/>
        <rFont val="Arial"/>
        <family val="2"/>
        <scheme val="minor"/>
      </rPr>
      <t>2</t>
    </r>
  </si>
  <si>
    <r>
      <t>CO</t>
    </r>
    <r>
      <rPr>
        <vertAlign val="subscript"/>
        <sz val="8"/>
        <color theme="1"/>
        <rFont val="Arial"/>
        <family val="2"/>
        <scheme val="minor"/>
      </rPr>
      <t>2</t>
    </r>
  </si>
  <si>
    <t xml:space="preserve">Truck Emissions </t>
  </si>
  <si>
    <t>Truck Emission Costs</t>
  </si>
  <si>
    <t>Passenger Car Emission Costs</t>
  </si>
  <si>
    <t>National Bridge Inventory provides structure length of the roadway bridge.</t>
  </si>
  <si>
    <t>US DOT, 2018 BCA Guidance on recommended hourly value of travel time savings, based on Revised Departmental Guidance on Valuation of Travel Time in Economic Analysis.</t>
  </si>
  <si>
    <t>US DOT, 2018 BCA Guidance on recommended vehicle operating costs per mile for light duty vehicles. American Automobile Association, Your Driving Costs - 2017 Edition.</t>
  </si>
  <si>
    <t xml:space="preserve">Operating Cost Savings </t>
  </si>
  <si>
    <t xml:space="preserve">Safety </t>
  </si>
  <si>
    <t>Project Capital Expenditure (in Millions of 2017$)</t>
  </si>
  <si>
    <t>Duration of Service Disruptions - BNSF/Freight Rail</t>
  </si>
  <si>
    <t>Based on news reports, BNSF suspended service on June 24 and reopened both tracks by July 6, 2011. However delays continued for at least another week.</t>
  </si>
  <si>
    <t>Based on news reports, Amtrak suspended services on June 1, 2011 and resumed operations in mid-July 2011</t>
  </si>
  <si>
    <t>Calculated Value given assumed incremental detour length and travel speed.</t>
  </si>
  <si>
    <t>$/day per train</t>
  </si>
  <si>
    <t>Calculated as the daily opportunity cost of train payload value based on a 10% rate.</t>
  </si>
  <si>
    <t>passengers/annual equivalent</t>
  </si>
  <si>
    <t>Based on 2018 Amtrak  ridership for Minot.</t>
  </si>
  <si>
    <t>Annual Passenger Volume</t>
  </si>
  <si>
    <t>Passengers through the Amtrak Network</t>
  </si>
  <si>
    <t>Passengers through Amtrak in Minot</t>
  </si>
  <si>
    <t>Annual Passenger Volumes Lost - Amtrak Network</t>
  </si>
  <si>
    <t>Annual Passenger Volumes Lost - Amtrak in Minot</t>
  </si>
  <si>
    <t>Freight Inventory Cost of Train Delay</t>
  </si>
  <si>
    <t xml:space="preserve">Freight Train Delay - Rerouted Trains </t>
  </si>
  <si>
    <t>Cost of Freight Train Delay/Operating Costs (2017$/hour)</t>
  </si>
  <si>
    <t xml:space="preserve">Avoided Freight Train Delays </t>
  </si>
  <si>
    <t>Freight Inventory Cost of Train Delay (2017$/day per train)</t>
  </si>
  <si>
    <t>2017$/injury</t>
  </si>
  <si>
    <t>US DOT, BCA Guidance 2018. Based on MAIS Injury Severity Scale and KACBO-AIS Conversion if Injury Unknown. Guidance on Treatment of the Economic Value of a Statistical Life in U.S. Department of Transportation Analyses (2016).</t>
  </si>
  <si>
    <t>Average Cost per Vehicle for PDO Crashes</t>
  </si>
  <si>
    <t xml:space="preserve">2017$/vehicle </t>
  </si>
  <si>
    <t>US DOT, BCA Guidance 2018. The Economic and Societal Impact of Motor Vehicle Crashes, 2010 (revised May 2015), Page 12, Table 1-2, Summary of Unit Costs, 2000. Value inflated to 2017 dollars.</t>
  </si>
  <si>
    <t>Injury Rate</t>
  </si>
  <si>
    <t>injuries/injury crash</t>
  </si>
  <si>
    <t>Property Damage Rate</t>
  </si>
  <si>
    <t>vehicles/PDO crash</t>
  </si>
  <si>
    <t>Injury Crashes per Year</t>
  </si>
  <si>
    <t>Property Damage Only (PDO) Crashes per year</t>
  </si>
  <si>
    <t>crashes/year</t>
  </si>
  <si>
    <t>PDO Crashes per year</t>
  </si>
  <si>
    <t>Injury Rate (injuries per crash)</t>
  </si>
  <si>
    <t>Property Damage Rate (vehicles per crash)</t>
  </si>
  <si>
    <t>Crash Modification Factor</t>
  </si>
  <si>
    <t>CMF Clearing House. CMF 9398: widen managed lane envelope.</t>
  </si>
  <si>
    <t xml:space="preserve">Crash Modification Factor </t>
  </si>
  <si>
    <t>Cost per Accident Injury (2017$/injury)</t>
  </si>
  <si>
    <t>Cost per Vehicle for PDO Crashes (2017$/vehicle)</t>
  </si>
  <si>
    <t>Injury Crashes</t>
  </si>
  <si>
    <t>PDO Crashes</t>
  </si>
  <si>
    <t>Injuries</t>
  </si>
  <si>
    <t xml:space="preserve">Property Damages </t>
  </si>
  <si>
    <t>injuries/year</t>
  </si>
  <si>
    <t>vehicles/year</t>
  </si>
  <si>
    <t xml:space="preserve">Cost of Injuries </t>
  </si>
  <si>
    <t>Cost of Property Damages</t>
  </si>
  <si>
    <t>No Build Less Build Case</t>
  </si>
  <si>
    <t>Reduced Cost of Injuries</t>
  </si>
  <si>
    <t xml:space="preserve">Reduced Cost of Property Damages </t>
  </si>
  <si>
    <t xml:space="preserve">Combined Results: </t>
  </si>
  <si>
    <t xml:space="preserve">Project Lifecycle - Combined </t>
  </si>
  <si>
    <t xml:space="preserve">Rail Bridge Results: </t>
  </si>
  <si>
    <t>hours</t>
  </si>
  <si>
    <t>Capital Expenditures</t>
  </si>
  <si>
    <t>Duration of Service Closure - Amtrak Network Services</t>
  </si>
  <si>
    <t>Vehicle Speed Over the Roadway Bridge</t>
  </si>
  <si>
    <t>Vehicle Speed On the Detour Road</t>
  </si>
  <si>
    <t>Freight Rail Operating Days</t>
  </si>
  <si>
    <t>Annual Freight Train Volume Growth</t>
  </si>
  <si>
    <t>Operating Cost of Freight Train Delay</t>
  </si>
  <si>
    <t xml:space="preserve">Roadway Bridge Useful Life </t>
  </si>
  <si>
    <t xml:space="preserve">Rail Bridge Repair Cost After a Flooding Event </t>
  </si>
  <si>
    <t xml:space="preserve">Total Costs </t>
  </si>
  <si>
    <t xml:space="preserve">Net Present Value </t>
  </si>
  <si>
    <t>Benefit / Cost Ratio</t>
  </si>
  <si>
    <t>Internal Rate of Return (%)</t>
  </si>
  <si>
    <t xml:space="preserve">Merit Criteria </t>
  </si>
  <si>
    <t>Total Benefit Estimates</t>
  </si>
  <si>
    <t>Assumed value. Based on Amtrak Fact Sheet 2011 for North Dakota, the costs to restore segments of BNSF tracks amounted to $20 million. Amtrak spent about $4.9 million to restore station building and platform in Minot.  Inflated to 2017 dollars.</t>
  </si>
  <si>
    <t>Travel Time Savings During a Flooding Event.</t>
  </si>
  <si>
    <t>Operating Cost Savings During a Flooding Event.</t>
  </si>
  <si>
    <t>Reduced Emissions During a Flooding Event.</t>
  </si>
  <si>
    <t>crash improvement</t>
  </si>
  <si>
    <t>Average Fare on Amtrak Empire Builder, 2018</t>
  </si>
  <si>
    <t>$/passenger</t>
  </si>
  <si>
    <t>Amtrak Fact Sheet for Empire Builder Service, 2018. Adjusted to 2017 dollars.</t>
  </si>
  <si>
    <t>Cost of Alternative Mode (Air)</t>
  </si>
  <si>
    <t>Value of Lost Empire Builder Train Service</t>
  </si>
  <si>
    <t>Distance to Next Closest Train Station from Minot (Stanley, ND)</t>
  </si>
  <si>
    <t>Auto Travel Time from Minot to Stanley</t>
  </si>
  <si>
    <t>Incremental Cost of Using Amtrak Services to Minot Passengers</t>
  </si>
  <si>
    <t>Assumption based on a sample of air fares to destinations covered by Amtrak Service (about $300 per trip). Adjusted to 2017 dollars.</t>
  </si>
  <si>
    <t>Assumed based Google maps driving directions</t>
  </si>
  <si>
    <t>Value of Time for Intercity Passengers</t>
  </si>
  <si>
    <t xml:space="preserve">Assumed </t>
  </si>
  <si>
    <t>Calculated value.</t>
  </si>
  <si>
    <t>Value of Cancelled Train Service (2017$/passenger)</t>
  </si>
  <si>
    <t>Cost of Train Service Disruption to Minot Passengers</t>
  </si>
  <si>
    <t>Duration of Service Closure - Amtrak Minot Services</t>
  </si>
  <si>
    <t>ND State Rail Plan document retrieved data from FAF which supports this assumption.</t>
  </si>
  <si>
    <t>Project Evaluation Metric</t>
  </si>
  <si>
    <t>Undiscounted Rate</t>
  </si>
  <si>
    <t>7% Discount Rate</t>
  </si>
  <si>
    <t>Annual Passenger Volume With Lost Train Service</t>
  </si>
  <si>
    <t xml:space="preserve">Annual Passenger Volume With Lost Train Services </t>
  </si>
  <si>
    <t>Annual Passenger Volume With Disrupted Train Services</t>
  </si>
  <si>
    <t>Annual Passenger Volumes With Disrupted Train Service</t>
  </si>
  <si>
    <t>Reduced roadway accidents due to improved geometry of the upgraded bridge</t>
  </si>
  <si>
    <t>Improved Safety of Road Traffic .</t>
  </si>
  <si>
    <t>Improved Infrastructure Resiliency.</t>
  </si>
  <si>
    <t>Operating costs savings to automobile users from avoided bridge closure and detours.</t>
  </si>
  <si>
    <t>Reduced emissions from automobiles as a result of roadway bridge closure and detours.</t>
  </si>
  <si>
    <t xml:space="preserve">Total  Benefits </t>
  </si>
  <si>
    <t>Component</t>
  </si>
  <si>
    <t>Improved Safety of Road Traffic and Rail Movements</t>
  </si>
  <si>
    <t xml:space="preserve">Economic Competitiveness </t>
  </si>
  <si>
    <t xml:space="preserve">Environmental Sustainability </t>
  </si>
  <si>
    <t>2040 North Dakota State Rail Plan, BNSF Statistics. Adjusted for empty returning train hauls.</t>
  </si>
  <si>
    <t>No-Build</t>
  </si>
  <si>
    <t xml:space="preserve">Operating Cost to Railroad </t>
  </si>
  <si>
    <t xml:space="preserve">Inventory Costs to Shippers </t>
  </si>
  <si>
    <t>Value of Freight Lost to Shippers</t>
  </si>
  <si>
    <t>Daily Service Disruptions - BNSF/Freight Rail</t>
  </si>
  <si>
    <t>Daily Service Closure - Amtrak Network</t>
  </si>
  <si>
    <t>Daily Service Closure - Amtrak in Minot</t>
  </si>
  <si>
    <t>2017$/day</t>
  </si>
  <si>
    <t>Passenger Train Daily Impacts</t>
  </si>
  <si>
    <t>Freight Train Daily Impacts</t>
  </si>
  <si>
    <t>passengers/day</t>
  </si>
  <si>
    <t>tons/day</t>
  </si>
  <si>
    <t>Annual Exceedance Probability</t>
  </si>
  <si>
    <t>Passenger Train Service Suspension - Amtrak Network (days)</t>
  </si>
  <si>
    <t>Passenger Train Service Suspension - Amtrak in Minot (days)</t>
  </si>
  <si>
    <t>Impacts of Flooding Events, By Flow Rate</t>
  </si>
  <si>
    <t>Daily Damage Costs</t>
  </si>
  <si>
    <t xml:space="preserve">Value of Disrupted Train Services </t>
  </si>
  <si>
    <t>Total Damage Costs</t>
  </si>
  <si>
    <t>*Note: the flooding event happened in Minot in 2011 had an approximate flow rate of 26,900.</t>
  </si>
  <si>
    <t>Frequency</t>
  </si>
  <si>
    <t>infinity</t>
  </si>
  <si>
    <t>EAD Reduced</t>
  </si>
  <si>
    <t>Flooding Flow Rate (cfs)</t>
  </si>
  <si>
    <t>Reccurence Timeframe (years)</t>
  </si>
  <si>
    <t>Flooding Flow Rates (cfs)</t>
  </si>
  <si>
    <t xml:space="preserve">Rail Bridge Repair Costs </t>
  </si>
  <si>
    <t>Frequency Interval</t>
  </si>
  <si>
    <t>Average Annual Damage</t>
  </si>
  <si>
    <t>Damage Costs</t>
  </si>
  <si>
    <t xml:space="preserve">No-Build </t>
  </si>
  <si>
    <t>Average Damage Costs</t>
  </si>
  <si>
    <t>EAD</t>
  </si>
  <si>
    <t>Annual Incremental Damage Costs</t>
  </si>
  <si>
    <t>Freight Train Service Suspension</t>
  </si>
  <si>
    <t xml:space="preserve">Passenger Train Service Suspension - Amtrak Network </t>
  </si>
  <si>
    <t>Passenger Train Service Suspension - Amtrak in Minot</t>
  </si>
  <si>
    <t>Annual Damage Costs</t>
  </si>
  <si>
    <t xml:space="preserve">EAD Calculator - Passenger Train Service Suspension - Amtrak Network </t>
  </si>
  <si>
    <t>EAD Calculator - Passenger Train Service Suspension - Amtrak in Minot</t>
  </si>
  <si>
    <t xml:space="preserve">EAD Calculator - Rail Bridge Repair Costs </t>
  </si>
  <si>
    <r>
      <t xml:space="preserve">Flooding Flow Rate (cfs) </t>
    </r>
    <r>
      <rPr>
        <vertAlign val="superscript"/>
        <sz val="11"/>
        <color theme="1"/>
        <rFont val="Arial"/>
        <family val="2"/>
        <scheme val="minor"/>
      </rPr>
      <t>1</t>
    </r>
  </si>
  <si>
    <r>
      <t xml:space="preserve">Annual Exceedance Probability </t>
    </r>
    <r>
      <rPr>
        <vertAlign val="superscript"/>
        <sz val="11"/>
        <color theme="1"/>
        <rFont val="Arial"/>
        <family val="2"/>
        <scheme val="minor"/>
      </rPr>
      <t>2</t>
    </r>
  </si>
  <si>
    <r>
      <t xml:space="preserve">Freight Train Service Suspension (days) </t>
    </r>
    <r>
      <rPr>
        <vertAlign val="superscript"/>
        <sz val="11"/>
        <color theme="1"/>
        <rFont val="Arial"/>
        <family val="2"/>
        <scheme val="minor"/>
      </rPr>
      <t>3</t>
    </r>
  </si>
  <si>
    <t>1. U.S. Department of Interior, U.S. Geological Survey</t>
  </si>
  <si>
    <t>2. Based on engineering estimates</t>
  </si>
  <si>
    <t>Daily Bridge Closure (days)</t>
  </si>
  <si>
    <t xml:space="preserve">Daily Distance Travelled </t>
  </si>
  <si>
    <t>miles/day</t>
  </si>
  <si>
    <t xml:space="preserve">Daily Vehicle Miles Travelled </t>
  </si>
  <si>
    <t>Reduced Travel Time</t>
  </si>
  <si>
    <t xml:space="preserve">Reduced Travel Time </t>
  </si>
  <si>
    <t xml:space="preserve">reduced Emissions </t>
  </si>
  <si>
    <t xml:space="preserve">Roadway Bridge Closure Days </t>
  </si>
  <si>
    <t>EAD Calculator - Reduced Travel Time</t>
  </si>
  <si>
    <t>EAD Calculator - Operating Cost Savings</t>
  </si>
  <si>
    <t>EAD Calculator - Reduced Emissions</t>
  </si>
  <si>
    <t>Passenger Train Service Suspension - Amtrak Network</t>
  </si>
  <si>
    <t>Rail Bridge Repair Cost Savings</t>
  </si>
  <si>
    <t xml:space="preserve">Trains </t>
  </si>
  <si>
    <t>BNSF Civil Work (Non-Track)</t>
  </si>
  <si>
    <t>BNSF Track Work</t>
  </si>
  <si>
    <t xml:space="preserve">Rail Bridge and Tracks Repair Costs </t>
  </si>
  <si>
    <t>Project Lifecycle - Rail Bridge and Tracks</t>
  </si>
  <si>
    <t>Estimated cost of freight train delay by AAR. $175/hour for locomotives, $146 for freight cars and $284/hour for locomotive crew, based on Class I railroad average for 2018. Value de-escalated to 2017$.</t>
  </si>
  <si>
    <t>Damage Costs of Flooding Events - Rail Bridge and Tracks</t>
  </si>
  <si>
    <t xml:space="preserve">Assumed. Operating speeds on the remaining network may be reduced due to increased congestion. </t>
  </si>
  <si>
    <t>Based on industry experience regarding trains operating in the area.</t>
  </si>
  <si>
    <t>Automobile Emission Inputs</t>
  </si>
  <si>
    <t>Based on news reports, Amtrak station in Minot was closed until mid-November to complete repairs to the building and platform. Passengers in Minot could not obtain service.</t>
  </si>
  <si>
    <t xml:space="preserve">Rail Bridge Useful Life </t>
  </si>
  <si>
    <t xml:space="preserve">2014 - 2019 crash data within impacted intersections retrieved from the City of Minot. Average taken to get number of crashes per year. Assume constant crash data over the study period </t>
  </si>
  <si>
    <t>Number of injuries involved divided by total injury crashes, 2014-2019 crash data retrieved from City of Minot</t>
  </si>
  <si>
    <t>Number of cars involved divided by total PDO crashes, 2014-2019 crash data retrieved from City of Minot</t>
  </si>
  <si>
    <t>Assumed. Given the current network density, some train trips may require long detours with significant impact on total trip length and causing significant delays throughout the network.</t>
  </si>
  <si>
    <t>&lt;&lt; assumes 2.86 locomotives per train, 100 cars and 3.8 crew</t>
  </si>
  <si>
    <t>FAF shipment values for within, outbound and inbound U.S. states, 2017. Average of domestic, import and export shipment values within outbound and inbound of Minot, ND chosen.</t>
  </si>
  <si>
    <t>Based on news reports Amtrak cancelled services between St Paul and Spokane after the flooding event in 2011. Amtrak 2018 statistics show passengers boarding or detraining in ND of 103,200 and 88,599 who were boarding and detraining outside the state. In Montana there were some additional passengers increasing total number of passengers affected: 121,400 that were boarding/detraining in Montana and 77,987 that were boarding detraining in other states.</t>
  </si>
  <si>
    <t xml:space="preserve">US DOT, 2018 BCA Guidance on recommended vehicle operating costs per mile for commercial trucks. American Transportation Research Institute, An Analysis of the Operational Costs of Trucking: 2017 Update. </t>
  </si>
  <si>
    <t>Detour Distance (miles)</t>
  </si>
  <si>
    <t>Project Capital Expenditure (in Millions of 2019$)</t>
  </si>
  <si>
    <t>3rd Street NE Bridge Replacement and Rail Raise</t>
  </si>
  <si>
    <t xml:space="preserve">Impact Description </t>
  </si>
  <si>
    <t xml:space="preserve">Reduced infrastructure repair costs following a flooding event, including repairs of rail bridge, rail tracks, and rail station buildings and platforms after a flooding event. </t>
  </si>
  <si>
    <t xml:space="preserve">Residual value of the roadway bridge, the rail bridge, and improved rail tracks at the end of the benefit period. </t>
  </si>
  <si>
    <t>Reduced train operating costs, freight inventory costs from freight train delays, as well as reduced lost freight deliveries from freight train cancellation.</t>
  </si>
  <si>
    <t>Reduced  travel times for passenger cars and trucks from an avoided longer detour route.</t>
  </si>
  <si>
    <t>Reduced Freight Train Service Suspension During a Flooding Event.</t>
  </si>
  <si>
    <t>Reduced Loss of Passenger Train Services During a Flooding Event.</t>
  </si>
  <si>
    <t xml:space="preserve">Reduced Amtrak services suspensions through the entire Amtrak passenger rail network. </t>
  </si>
  <si>
    <t>Reduced Amtrak services suspensions at the Amtrak station in Minot, North Dakota.</t>
  </si>
  <si>
    <t>Assumed value.</t>
  </si>
  <si>
    <t>Repair Costs After a Flooding Event</t>
  </si>
  <si>
    <t>Vehicle Detour Length if Bridge Closed Due to Flooding</t>
  </si>
  <si>
    <t>Rerouted Daily Train Counts During Flood Event</t>
  </si>
  <si>
    <t>Cancelled Daily Train Counts During Flood Event</t>
  </si>
  <si>
    <t>Incremental Detour Length per Train Trip During a Flooding Event</t>
  </si>
  <si>
    <t>Incremental Detour Time per Train Trip</t>
  </si>
  <si>
    <t>Passenger Volume Impacted During A Flood Event; Minot Impacts</t>
  </si>
  <si>
    <t>Passenger Volume Impacted During A Flood Event; Network Impacts</t>
  </si>
  <si>
    <t>Based on Amtrak passenger train schedule</t>
  </si>
  <si>
    <t xml:space="preserve">Incremental Detour Length per Train Trip During a Flooding Event </t>
  </si>
  <si>
    <t>Passenger Volume Impacted During A Flooding Event; Network Impacts</t>
  </si>
  <si>
    <t>Passenger Volume Impacted During A Flooding Event; Minot Impacts</t>
  </si>
  <si>
    <t>DailyTraffic Counts</t>
  </si>
  <si>
    <t>Daily Traffic Affected by Flooding</t>
  </si>
  <si>
    <t>Daily Vehicle Distance Travelled (miles)</t>
  </si>
  <si>
    <t>Daily Vehicle Travel Hours</t>
  </si>
  <si>
    <t>Loss of Train Service Due to Service Suspension - Amtrak Network</t>
  </si>
  <si>
    <t>Loss of Train Service Due to Service Suspension  - Amtrak in Minot</t>
  </si>
  <si>
    <t xml:space="preserve">Passenger Train Service Suspension - Passengers in Minot taking alternative Transportation </t>
  </si>
  <si>
    <t>Discounted Net Benefits at 3%</t>
  </si>
  <si>
    <t xml:space="preserve">All values are in millions of 2017 dollars </t>
  </si>
  <si>
    <t>Discounted at 3%</t>
  </si>
  <si>
    <t>Summary of Infrastructure Improvements and Associated Benefits</t>
  </si>
  <si>
    <t>In Discounted Millions of 2017$</t>
  </si>
  <si>
    <t>Reduced Travel Time During a Flooding Event.</t>
  </si>
  <si>
    <t>Overall Results of the Benefit Cost Analysis, in Millions of 2017$</t>
  </si>
  <si>
    <t>Capital Cost Components, in Millions of 2017$</t>
  </si>
  <si>
    <t>Rerouted Daily Train Counts During A Flood Event</t>
  </si>
  <si>
    <t xml:space="preserve">Cancelled Daily Train Counts During A Flood Event </t>
  </si>
  <si>
    <t>traffic counts/day</t>
  </si>
  <si>
    <t>Reduced Loss of Passenger Train Services During a Flooding Event - Amtrak Network</t>
  </si>
  <si>
    <t>Reduced Loss of Passenger Train Services During a Flooding Event - Amtrak in Minot</t>
  </si>
  <si>
    <t>EAD (Expected Annual Damages) Calculator - Freight Train Service Suspension</t>
  </si>
  <si>
    <t>3. Engineering industry knowledge based on the suspension days of freight trains during the 2011 flooding event in Minot, North Dakota.</t>
  </si>
  <si>
    <r>
      <t xml:space="preserve">Freight Train Service Suspension (days) </t>
    </r>
    <r>
      <rPr>
        <vertAlign val="superscript"/>
        <sz val="11"/>
        <color theme="1"/>
        <rFont val="Arial"/>
        <family val="2"/>
        <scheme val="minor"/>
      </rPr>
      <t>4</t>
    </r>
  </si>
  <si>
    <t>4. Engineering industry knowledge</t>
  </si>
  <si>
    <t>City of Minot</t>
  </si>
  <si>
    <t>Total Project Costs</t>
  </si>
  <si>
    <t>Amtrak Platform Relocation</t>
  </si>
  <si>
    <t>Estimates of Monetized Benefits by Merit Criteria Outcomes, in Millions of 2017 Dollars</t>
  </si>
  <si>
    <t>Over the Project Study Period</t>
  </si>
  <si>
    <t>Constant 2017$</t>
  </si>
  <si>
    <t>Project Costs, in Millions of 2017$</t>
  </si>
  <si>
    <t>Improved Reliability of Transportation Infrastructure.</t>
  </si>
  <si>
    <t>Avoided economic costs of freight delays during flood events which disrupts operations of freight shippers and receivers.</t>
  </si>
  <si>
    <t>Improved Freight Rail Operating Flexibility.</t>
  </si>
  <si>
    <t xml:space="preserve">Greater clearance between the roadway bridge and the rail bridge, which gives freight rail operators better operating flexibilities with respect to the type of trains operated in the future. </t>
  </si>
  <si>
    <t>Reduced travel times for passenger cars and trucks from an avoided longer detour route.</t>
  </si>
  <si>
    <t>Assumptions Used in the Estimation of Safety Outcomes</t>
  </si>
  <si>
    <t xml:space="preserve">Daily Traffic Volume Projections </t>
  </si>
  <si>
    <t>In Project Opening Year (2025)</t>
  </si>
  <si>
    <t>Daily Traffic Counts During the Flooding Period</t>
  </si>
  <si>
    <t xml:space="preserve">Daily Freight Train Counts Affected By Flooding </t>
  </si>
  <si>
    <t>Daily Train Passenger Volumes Affected By Lost Train Services</t>
  </si>
  <si>
    <t>Daily Train Passenger Volumes Affected By Disrupted Train Services</t>
  </si>
  <si>
    <t>Assumptions Used in the Estimation of State of Good Repair Soutcomes</t>
  </si>
  <si>
    <t>Assumptions Used in the Estimation of Freight Train Delay Outcomes</t>
  </si>
  <si>
    <t xml:space="preserve">Incremental Detour Time per Train Trip </t>
  </si>
  <si>
    <t>Assumptions Used in the Estimation of Lost Train Service Outcomes</t>
  </si>
  <si>
    <t>Assumptions Used in the Estimation of Operating Cost Saving Outcomes</t>
  </si>
  <si>
    <t>Assumptions Used in the Estimation of Travel Time Saving Outcomes</t>
  </si>
  <si>
    <t>Based on MOVES average annual emissions factors for trucks assuming speed of 25 mph. MOVES model run in June 2018.</t>
  </si>
  <si>
    <t>Based on MOVES average annual emissions factors for passenger cars assuming speed of 25 mph. MOVES model run in June 2018.</t>
  </si>
  <si>
    <t>Damage Costs for Critical Air Contaminate (CAC) Emissions 2020-2055 (2017$/ton)</t>
  </si>
  <si>
    <t>Results of the Benefit Cost Analysis, in Millions of 2017$ - Railway Bridge</t>
  </si>
  <si>
    <t>Results of the Benefit Cost Analysis, in Millions of 2017$ - 3rd St NE Bridge</t>
  </si>
  <si>
    <t xml:space="preserve">3rd St. NE Bridge </t>
  </si>
  <si>
    <t>2017 Average Daily Traffic Counts Using 3rd St NE Bridge</t>
  </si>
  <si>
    <t>2037 Average Daily Traffic Count Forecast Using 3rd St NE Bridge</t>
  </si>
  <si>
    <t xml:space="preserve">Sensitivity Analysis </t>
  </si>
  <si>
    <t>NPV</t>
  </si>
  <si>
    <t>% Change</t>
  </si>
  <si>
    <t>BCR</t>
  </si>
  <si>
    <t>Original NPV (Discounted at 7%)</t>
  </si>
  <si>
    <t>Original BCR (Discounted at 7%)</t>
  </si>
  <si>
    <t>Parameters</t>
  </si>
  <si>
    <t>Change in Parameter Value</t>
  </si>
  <si>
    <t>Net Present Value</t>
  </si>
  <si>
    <t>Change in NPV</t>
  </si>
  <si>
    <t xml:space="preserve"> New BCR</t>
  </si>
  <si>
    <t xml:space="preserve">10% Reduction in Capital Costs </t>
  </si>
  <si>
    <t xml:space="preserve">10% Increase in Capital Costs </t>
  </si>
  <si>
    <t xml:space="preserve">Sensitivity Index </t>
  </si>
  <si>
    <t xml:space="preserve">Train Service Suspension Days </t>
  </si>
  <si>
    <t>25% Increase in Suspension Days</t>
  </si>
  <si>
    <t>25% Reduction in Suspension Days</t>
  </si>
  <si>
    <t>Annual Freight Train Growth Rate</t>
  </si>
  <si>
    <t xml:space="preserve">2% Annual Growth of Freight Train Volumes </t>
  </si>
  <si>
    <t>Project Lifecycle - 3rd St NE Bridge</t>
  </si>
  <si>
    <t xml:space="preserve">3rd St NE Bridge Results: </t>
  </si>
  <si>
    <t>3rd Street NE Bridge Reconstruction</t>
  </si>
  <si>
    <t>3rd St NE Bridge</t>
  </si>
  <si>
    <t>Damage Costs of Flooding Events - 3rd St NE Bridge</t>
  </si>
  <si>
    <t>Assumptions Used in the Estimation of Traffic Volumes</t>
  </si>
  <si>
    <t xml:space="preserve">The 3rd Street NE Bridge is a major arterial north-south corridor connecting residential and downtown areas. The location also features a BNSF rail bridge and mainline tracks. A total of 40 trains and 9,000 vehicles per day pass through this location. 
Due to structural degradation over time, the3rd Street Bridge has become functionally obsolete.
The area is also susceptible to flooding from the Mouse River and resulting disruptions to traffic crossing the 3rd Street NE Bridge as well as freight rail traffic, and passenger rail traffic 
</t>
  </si>
  <si>
    <t>The proposed project will replace the BNSF railroad bridge over the Mouse River to meet state standards, raise the BNSF bridge and multiple rail lines in the same location to reduce risk from flooding.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</si>
</sst>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0.000"/>
    <numFmt numFmtId="168" formatCode="_(&quot;$&quot;* #,##0_);_(&quot;$&quot;* \(#,##0\);_(&quot;$&quot;* &quot;-&quot;???_);_(@_)"/>
    <numFmt numFmtId="169" formatCode="0.0000"/>
    <numFmt numFmtId="170" formatCode="_(&quot;$&quot;* #,##0_);_(&quot;$&quot;* \(#,##0\);_(&quot;$&quot;* &quot;-&quot;??_);_(@_)"/>
    <numFmt numFmtId="171" formatCode="0.00000"/>
    <numFmt numFmtId="172" formatCode="_(* #,##0_);_(* \(#,##0\);_(* &quot;-&quot;??_);_(@_)"/>
    <numFmt numFmtId="173" formatCode="_(* #,##0.000000_);_(* \(#,##0.000000\);_(* &quot;-&quot;??_);_(@_)"/>
    <numFmt numFmtId="174" formatCode="0.0"/>
    <numFmt numFmtId="175" formatCode="_(&quot;$&quot;* #,##0_);_(&quot;$&quot;* \(#,##0\);_(&quot;$&quot;* &quot;-&quot;?_);_(@_)"/>
    <numFmt numFmtId="176" formatCode="_(&quot;$&quot;* #,##0.00_);_(&quot;$&quot;* \(#,##0.00\);_(&quot;$&quot;* &quot;-&quot;?_);_(@_)"/>
    <numFmt numFmtId="177" formatCode="_(&quot;$&quot;* #,##0.000_);_(&quot;$&quot;* \(#,##0.000\);_(&quot;$&quot;* &quot;-&quot;??_);_(@_)"/>
    <numFmt numFmtId="178" formatCode="_(&quot;$&quot;* #,##0.0_);_(&quot;$&quot;* \(#,##0.0\);_(&quot;$&quot;* &quot;-&quot;_);_(@_)"/>
    <numFmt numFmtId="179" formatCode="_(&quot;$&quot;* #,##0.000_);_(&quot;$&quot;* \(#,##0.000\);_(&quot;$&quot;* &quot;-&quot;_);_(@_)"/>
    <numFmt numFmtId="180" formatCode="_(&quot;$&quot;* #,##0.0_);_(&quot;$&quot;* \(#,##0.0\);_(&quot;$&quot;* &quot;-&quot;??_);_(@_)"/>
    <numFmt numFmtId="181" formatCode="_(&quot;$&quot;* #,##0.00_);_(&quot;$&quot;* \(#,##0.00\);_(&quot;$&quot;* &quot;-&quot;_);_(@_)"/>
    <numFmt numFmtId="182" formatCode="#,##0.0000"/>
    <numFmt numFmtId="183" formatCode="#0.000"/>
    <numFmt numFmtId="184" formatCode="#,##0;\-#,##0;&quot;-&quot;"/>
    <numFmt numFmtId="185" formatCode="#,##0.00;\-#,##0.00;&quot;-&quot;"/>
    <numFmt numFmtId="186" formatCode="&quot;$&quot;#,##0;\-&quot;$&quot;#,##0;&quot;-&quot;"/>
    <numFmt numFmtId="187" formatCode="&quot;$&quot;#,##0;\-&quot;$&quot;#.##0;&quot;-&quot;"/>
    <numFmt numFmtId="188" formatCode="&quot;$&quot;#,##0;\-&quot;$&quot;#,##0;\-"/>
    <numFmt numFmtId="189" formatCode="#,##0;\-#,##0;\-"/>
    <numFmt numFmtId="190" formatCode="#,##0.00;\-#,##0.00;\-"/>
    <numFmt numFmtId="191" formatCode="[$-409]mmmm\ d\,\ yyyy;@"/>
    <numFmt numFmtId="192" formatCode="#,##0.0"/>
    <numFmt numFmtId="193" formatCode="&quot;$&quot;#,##0.0&quot;/hr&quot;"/>
    <numFmt numFmtId="194" formatCode="#,##0;\-#.##0;&quot;-&quot;"/>
    <numFmt numFmtId="195" formatCode="#,##0.000000"/>
    <numFmt numFmtId="196" formatCode="0&quot; mph&quot;"/>
    <numFmt numFmtId="197" formatCode="#,##0.000"/>
    <numFmt numFmtId="198" formatCode="#,##0.00;\-#.##000;&quot;-&quot;"/>
    <numFmt numFmtId="199" formatCode="#,##0.0000;\-#.##00000;&quot;-&quot;"/>
    <numFmt numFmtId="200" formatCode="&quot;$&quot;#,##0.00,,"/>
    <numFmt numFmtId="201" formatCode="&quot;$&quot;#,##0.00,,;\-&quot;$&quot;#,##0.00,,;&quot;-&quot;"/>
    <numFmt numFmtId="202" formatCode="&quot;$&quot;#,##0.00,,\ &quot;M&quot;;\-&quot;$&quot;#.##0.00,,\ &quot;M&quot;;&quot;-&quot;"/>
    <numFmt numFmtId="203" formatCode="&quot;$&quot;#,##0.00,,\ &quot;M&quot;;\-&quot;$&quot;#,##0.00,,\ &quot;M&quot;;&quot;-&quot;"/>
    <numFmt numFmtId="204" formatCode="#,##0\ &quot;hrs&quot;"/>
    <numFmt numFmtId="205" formatCode="&quot;$&quot;#,##0.0"/>
    <numFmt numFmtId="206" formatCode="&quot;$&quot;#,##0.000,,\ &quot;M&quot;;\-&quot;$&quot;#,##0.000,,\ &quot;M&quot;;&quot;-&quot;"/>
    <numFmt numFmtId="207" formatCode="&quot;$&quot;#,##0,,\ &quot;M&quot;;\-&quot;$&quot;#,##0,,\ &quot;M&quot;;&quot;-&quot;"/>
    <numFmt numFmtId="208" formatCode="&quot;$&quot;#,##0.0,,\ &quot;M&quot;;\-&quot;$&quot;#,##0.0,,\ &quot;M&quot;;&quot;-&quot;"/>
    <numFmt numFmtId="209" formatCode="&quot;$&quot;#,##0.0,,;\-&quot;$&quot;#.##0.0,,;&quot;-&quot;"/>
    <numFmt numFmtId="210" formatCode="&quot;$&quot;#,##0.0,,;\-&quot;$&quot;#,##0.0,,;\'&quot;-&quot;"/>
    <numFmt numFmtId="211" formatCode="&quot;$&quot;#,##0.0,,;\-&quot;$&quot;#,##0.0,,;&quot;-&quot;"/>
    <numFmt numFmtId="212" formatCode="&quot;$&quot;#,##0.0,,;\-&quot;$&quot;#,##0.0,,;\-"/>
    <numFmt numFmtId="213" formatCode="&quot;$&quot;#,##0.0,,&quot; M&quot;"/>
    <numFmt numFmtId="214" formatCode="&quot;$&quot;#,##0.0,,\ ;\-&quot;$&quot;#,##0.0,,\ ;&quot;-&quot;"/>
    <numFmt numFmtId="215" formatCode="&quot;$&quot;#,##0.0,,"/>
  </numFmts>
  <fonts count="127" x14ac:knownFonts="1">
    <font>
      <sz val="11"/>
      <color theme="1"/>
      <name val="Arial"/>
      <family val="2"/>
      <scheme val="minor"/>
    </font>
    <font>
      <sz val="11"/>
      <color theme="1"/>
      <name val="Arial"/>
      <family val="2"/>
      <scheme val="minor"/>
    </font>
    <font>
      <b/>
      <sz val="11"/>
      <color rgb="FFFA7D00"/>
      <name val="Arial"/>
      <family val="2"/>
      <scheme val="minor"/>
    </font>
    <font>
      <b/>
      <sz val="11"/>
      <color theme="0"/>
      <name val="Arial"/>
      <family val="2"/>
      <scheme val="minor"/>
    </font>
    <font>
      <sz val="11"/>
      <color theme="0"/>
      <name val="Arial"/>
      <family val="2"/>
      <scheme val="minor"/>
    </font>
    <font>
      <b/>
      <sz val="14"/>
      <color rgb="FF002060"/>
      <name val="Arial"/>
      <family val="2"/>
      <scheme val="minor"/>
    </font>
    <font>
      <sz val="11"/>
      <color rgb="FF0000FF"/>
      <name val="Arial"/>
      <family val="2"/>
      <scheme val="minor"/>
    </font>
    <font>
      <sz val="11"/>
      <color theme="2"/>
      <name val="Arial"/>
      <family val="2"/>
      <scheme val="minor"/>
    </font>
    <font>
      <b/>
      <sz val="10"/>
      <color theme="0"/>
      <name val="Arial"/>
      <family val="2"/>
      <scheme val="major"/>
    </font>
    <font>
      <b/>
      <sz val="8"/>
      <color theme="0"/>
      <name val="Arial"/>
      <family val="2"/>
      <scheme val="major"/>
    </font>
    <font>
      <sz val="8"/>
      <color theme="0"/>
      <name val="Arial"/>
      <family val="2"/>
      <scheme val="major"/>
    </font>
    <font>
      <sz val="8"/>
      <color theme="0" tint="-0.499984740745262"/>
      <name val="Arial"/>
      <family val="2"/>
      <scheme val="major"/>
    </font>
    <font>
      <b/>
      <sz val="8"/>
      <color theme="1"/>
      <name val="Arial"/>
      <family val="2"/>
      <scheme val="major"/>
    </font>
    <font>
      <sz val="8"/>
      <color theme="1"/>
      <name val="Arial"/>
      <family val="2"/>
      <scheme val="major"/>
    </font>
    <font>
      <sz val="11"/>
      <color theme="1"/>
      <name val="Arial"/>
      <family val="2"/>
      <scheme val="major"/>
    </font>
    <font>
      <sz val="11"/>
      <color rgb="FFFF0000"/>
      <name val="Arial"/>
      <family val="2"/>
      <scheme val="major"/>
    </font>
    <font>
      <sz val="8"/>
      <name val="Arial"/>
      <family val="2"/>
      <scheme val="major"/>
    </font>
    <font>
      <i/>
      <sz val="8"/>
      <color theme="1"/>
      <name val="Arial"/>
      <family val="2"/>
      <scheme val="major"/>
    </font>
    <font>
      <u/>
      <sz val="8"/>
      <color theme="1"/>
      <name val="Arial"/>
      <family val="2"/>
      <scheme val="major"/>
    </font>
    <font>
      <i/>
      <u/>
      <sz val="8"/>
      <color theme="1"/>
      <name val="Arial"/>
      <family val="2"/>
      <scheme val="major"/>
    </font>
    <font>
      <u/>
      <sz val="11"/>
      <color theme="10"/>
      <name val="Calibri"/>
      <family val="2"/>
    </font>
    <font>
      <u/>
      <sz val="8"/>
      <color theme="10"/>
      <name val="Arial"/>
      <family val="2"/>
      <scheme val="major"/>
    </font>
    <font>
      <sz val="8"/>
      <color theme="0" tint="-0.34998626667073579"/>
      <name val="Arial"/>
      <family val="2"/>
      <scheme val="major"/>
    </font>
    <font>
      <b/>
      <sz val="8"/>
      <name val="Arial"/>
      <family val="2"/>
      <scheme val="major"/>
    </font>
    <font>
      <b/>
      <sz val="8"/>
      <color theme="10"/>
      <name val="Arial"/>
      <family val="2"/>
      <scheme val="major"/>
    </font>
    <font>
      <b/>
      <sz val="8"/>
      <color rgb="FFFF0000"/>
      <name val="Arial"/>
      <family val="2"/>
      <scheme val="major"/>
    </font>
    <font>
      <b/>
      <u/>
      <sz val="8"/>
      <color theme="0" tint="-0.34998626667073579"/>
      <name val="Arial"/>
      <family val="2"/>
      <scheme val="major"/>
    </font>
    <font>
      <b/>
      <sz val="8"/>
      <color rgb="FF00B050"/>
      <name val="Arial"/>
      <family val="2"/>
      <scheme val="major"/>
    </font>
    <font>
      <b/>
      <i/>
      <sz val="8"/>
      <color theme="0" tint="-0.249977111117893"/>
      <name val="Arial"/>
      <family val="2"/>
      <scheme val="major"/>
    </font>
    <font>
      <b/>
      <sz val="8"/>
      <color theme="0" tint="-0.249977111117893"/>
      <name val="Arial"/>
      <family val="2"/>
      <scheme val="major"/>
    </font>
    <font>
      <b/>
      <sz val="9"/>
      <color indexed="81"/>
      <name val="Tahoma"/>
      <family val="2"/>
    </font>
    <font>
      <sz val="8"/>
      <color rgb="FFFF0000"/>
      <name val="Arial"/>
      <family val="2"/>
      <scheme val="major"/>
    </font>
    <font>
      <sz val="8"/>
      <color rgb="FF00B050"/>
      <name val="Arial"/>
      <family val="2"/>
      <scheme val="major"/>
    </font>
    <font>
      <b/>
      <i/>
      <sz val="8"/>
      <color theme="1"/>
      <name val="Arial"/>
      <family val="2"/>
      <scheme val="major"/>
    </font>
    <font>
      <b/>
      <sz val="10"/>
      <color theme="0"/>
      <name val="Arial"/>
      <family val="2"/>
    </font>
    <font>
      <b/>
      <sz val="8"/>
      <color theme="0"/>
      <name val="Arial"/>
      <family val="2"/>
    </font>
    <font>
      <sz val="8"/>
      <color theme="0"/>
      <name val="Arial"/>
      <family val="2"/>
    </font>
    <font>
      <u/>
      <sz val="8"/>
      <color theme="0"/>
      <name val="Arial"/>
      <family val="2"/>
    </font>
    <font>
      <b/>
      <sz val="8"/>
      <name val="Arial"/>
      <family val="2"/>
    </font>
    <font>
      <sz val="8"/>
      <name val="Arial"/>
      <family val="2"/>
    </font>
    <font>
      <sz val="8"/>
      <color theme="1"/>
      <name val="Arial"/>
      <family val="2"/>
    </font>
    <font>
      <sz val="8"/>
      <color theme="0" tint="-0.14999847407452621"/>
      <name val="Arial"/>
      <family val="2"/>
    </font>
    <font>
      <u/>
      <sz val="8"/>
      <name val="Arial"/>
      <family val="2"/>
    </font>
    <font>
      <b/>
      <sz val="8"/>
      <color theme="1"/>
      <name val="Arial"/>
      <family val="2"/>
    </font>
    <font>
      <u/>
      <sz val="8"/>
      <color theme="1"/>
      <name val="Arial"/>
      <family val="2"/>
    </font>
    <font>
      <u/>
      <sz val="8"/>
      <color theme="10"/>
      <name val="Arial"/>
      <family val="2"/>
    </font>
    <font>
      <b/>
      <sz val="8"/>
      <color theme="0" tint="-0.14999847407452621"/>
      <name val="Arial"/>
      <family val="2"/>
    </font>
    <font>
      <b/>
      <sz val="8"/>
      <color rgb="FFFF0000"/>
      <name val="Arial"/>
      <family val="2"/>
    </font>
    <font>
      <i/>
      <sz val="8"/>
      <color rgb="FFFF0000"/>
      <name val="Arial"/>
      <family val="2"/>
    </font>
    <font>
      <sz val="9"/>
      <color indexed="8"/>
      <name val="Calibri"/>
      <family val="2"/>
    </font>
    <font>
      <i/>
      <sz val="8"/>
      <name val="Arial"/>
      <family val="2"/>
    </font>
    <font>
      <i/>
      <sz val="8"/>
      <color theme="1"/>
      <name val="Arial"/>
      <family val="2"/>
    </font>
    <font>
      <b/>
      <sz val="8"/>
      <color rgb="FF00B050"/>
      <name val="Arial"/>
      <family val="2"/>
    </font>
    <font>
      <sz val="8"/>
      <color rgb="FF00B050"/>
      <name val="Arial"/>
      <family val="2"/>
    </font>
    <font>
      <sz val="8"/>
      <color indexed="23"/>
      <name val="Arial"/>
      <family val="2"/>
    </font>
    <font>
      <sz val="8"/>
      <color theme="4"/>
      <name val="Arial"/>
      <family val="2"/>
    </font>
    <font>
      <b/>
      <i/>
      <sz val="8"/>
      <color rgb="FFFF0000"/>
      <name val="Arial"/>
      <family val="2"/>
    </font>
    <font>
      <sz val="8"/>
      <color indexed="8"/>
      <name val="Arial"/>
      <family val="2"/>
    </font>
    <font>
      <sz val="8"/>
      <color theme="2"/>
      <name val="Arial"/>
      <family val="2"/>
    </font>
    <font>
      <b/>
      <sz val="8"/>
      <color indexed="8"/>
      <name val="Arial"/>
      <family val="2"/>
    </font>
    <font>
      <sz val="8"/>
      <color theme="0" tint="-0.34998626667073579"/>
      <name val="Arial"/>
      <family val="2"/>
    </font>
    <font>
      <sz val="9"/>
      <color indexed="81"/>
      <name val="Tahoma"/>
      <family val="2"/>
    </font>
    <font>
      <b/>
      <sz val="8"/>
      <color rgb="FF000000"/>
      <name val="Arial"/>
      <family val="2"/>
    </font>
    <font>
      <sz val="8"/>
      <color rgb="FF000000"/>
      <name val="Arial"/>
      <family val="2"/>
    </font>
    <font>
      <u/>
      <sz val="8"/>
      <color theme="10"/>
      <name val="Arial Narrow"/>
      <family val="2"/>
    </font>
    <font>
      <sz val="8"/>
      <color theme="0" tint="-0.499984740745262"/>
      <name val="Arial"/>
      <family val="2"/>
    </font>
    <font>
      <b/>
      <sz val="8"/>
      <color theme="0" tint="-0.499984740745262"/>
      <name val="Arial"/>
      <family val="2"/>
    </font>
    <font>
      <u/>
      <sz val="8"/>
      <color theme="0" tint="-0.499984740745262"/>
      <name val="Arial"/>
      <family val="2"/>
    </font>
    <font>
      <b/>
      <u/>
      <sz val="8"/>
      <name val="Arial"/>
      <family val="2"/>
    </font>
    <font>
      <sz val="11"/>
      <color indexed="8"/>
      <name val="Arial"/>
      <family val="2"/>
      <scheme val="minor"/>
    </font>
    <font>
      <sz val="8"/>
      <color indexed="8"/>
      <name val="Arial"/>
      <family val="2"/>
      <scheme val="minor"/>
    </font>
    <font>
      <b/>
      <sz val="12"/>
      <color theme="1"/>
      <name val="Calibri"/>
      <family val="2"/>
    </font>
    <font>
      <sz val="12"/>
      <color theme="1"/>
      <name val="Calibri"/>
      <family val="2"/>
    </font>
    <font>
      <b/>
      <sz val="11"/>
      <color theme="1"/>
      <name val="Calibri"/>
      <family val="2"/>
    </font>
    <font>
      <sz val="11"/>
      <color theme="1"/>
      <name val="Calibri"/>
      <family val="2"/>
    </font>
    <font>
      <b/>
      <sz val="11"/>
      <color theme="1"/>
      <name val="Arial"/>
      <family val="2"/>
      <scheme val="minor"/>
    </font>
    <font>
      <b/>
      <sz val="14"/>
      <color theme="1"/>
      <name val="Arial"/>
      <family val="2"/>
      <scheme val="minor"/>
    </font>
    <font>
      <b/>
      <sz val="9"/>
      <color rgb="FFFFFFFF"/>
      <name val="Arial"/>
      <family val="2"/>
      <scheme val="minor"/>
    </font>
    <font>
      <sz val="9"/>
      <color theme="1"/>
      <name val="Arial"/>
      <family val="2"/>
      <scheme val="minor"/>
    </font>
    <font>
      <b/>
      <sz val="9"/>
      <color theme="1"/>
      <name val="Arial"/>
      <family val="2"/>
      <scheme val="minor"/>
    </font>
    <font>
      <b/>
      <sz val="9"/>
      <color theme="0"/>
      <name val="Arial"/>
      <family val="2"/>
      <scheme val="minor"/>
    </font>
    <font>
      <b/>
      <sz val="9"/>
      <name val="Arial"/>
      <family val="2"/>
      <scheme val="minor"/>
    </font>
    <font>
      <sz val="9"/>
      <name val="Arial"/>
      <family val="2"/>
      <scheme val="minor"/>
    </font>
    <font>
      <sz val="9"/>
      <color rgb="FF000000"/>
      <name val="Arial"/>
      <family val="2"/>
      <scheme val="minor"/>
    </font>
    <font>
      <sz val="9"/>
      <color rgb="FFFF0000"/>
      <name val="Arial"/>
      <family val="2"/>
      <scheme val="minor"/>
    </font>
    <font>
      <b/>
      <sz val="14"/>
      <color theme="0"/>
      <name val="Arial"/>
      <family val="2"/>
      <scheme val="minor"/>
    </font>
    <font>
      <b/>
      <sz val="12"/>
      <color theme="0"/>
      <name val="Arial"/>
      <family val="2"/>
    </font>
    <font>
      <sz val="9"/>
      <color theme="0"/>
      <name val="Arial"/>
      <family val="2"/>
    </font>
    <font>
      <sz val="10"/>
      <color theme="0"/>
      <name val="Arial"/>
      <family val="2"/>
      <scheme val="minor"/>
    </font>
    <font>
      <i/>
      <sz val="10"/>
      <color theme="3"/>
      <name val="Arial"/>
      <family val="2"/>
      <scheme val="minor"/>
    </font>
    <font>
      <sz val="10"/>
      <name val="Arial"/>
      <family val="2"/>
    </font>
    <font>
      <b/>
      <sz val="10"/>
      <color indexed="9"/>
      <name val="Arial"/>
      <family val="2"/>
    </font>
    <font>
      <b/>
      <sz val="14"/>
      <name val="Arial"/>
      <family val="2"/>
    </font>
    <font>
      <sz val="13"/>
      <name val="Arial"/>
      <family val="2"/>
    </font>
    <font>
      <b/>
      <sz val="10"/>
      <name val="Arial"/>
      <family val="2"/>
    </font>
    <font>
      <i/>
      <sz val="11"/>
      <color theme="2"/>
      <name val="Arial"/>
      <family val="2"/>
      <scheme val="minor"/>
    </font>
    <font>
      <b/>
      <i/>
      <sz val="11"/>
      <color theme="1"/>
      <name val="Arial"/>
      <family val="2"/>
      <scheme val="minor"/>
    </font>
    <font>
      <b/>
      <sz val="12"/>
      <name val="Helv"/>
    </font>
    <font>
      <sz val="10"/>
      <name val="Arial"/>
      <family val="2"/>
    </font>
    <font>
      <sz val="8"/>
      <name val="Helv"/>
    </font>
    <font>
      <sz val="11"/>
      <color rgb="FF002060"/>
      <name val="Arial"/>
      <family val="2"/>
      <scheme val="minor"/>
    </font>
    <font>
      <b/>
      <i/>
      <sz val="11"/>
      <color theme="2"/>
      <name val="Arial"/>
      <family val="2"/>
      <scheme val="minor"/>
    </font>
    <font>
      <sz val="11"/>
      <color rgb="FF006100"/>
      <name val="Arial"/>
      <family val="2"/>
      <scheme val="minor"/>
    </font>
    <font>
      <sz val="11"/>
      <color theme="1"/>
      <name val="Arial"/>
      <family val="2"/>
    </font>
    <font>
      <b/>
      <sz val="11"/>
      <color theme="1"/>
      <name val="Arial"/>
      <family val="2"/>
    </font>
    <font>
      <b/>
      <sz val="11"/>
      <color rgb="FF000000"/>
      <name val="Calibri"/>
      <family val="2"/>
    </font>
    <font>
      <sz val="11"/>
      <name val="Arial"/>
      <family val="2"/>
    </font>
    <font>
      <b/>
      <sz val="11"/>
      <name val="Arial"/>
      <family val="2"/>
    </font>
    <font>
      <sz val="12"/>
      <color theme="1"/>
      <name val="Arial"/>
      <family val="2"/>
      <scheme val="minor"/>
    </font>
    <font>
      <b/>
      <sz val="16"/>
      <color theme="3"/>
      <name val="Arial"/>
      <family val="2"/>
      <scheme val="minor"/>
    </font>
    <font>
      <b/>
      <sz val="12"/>
      <color rgb="FFFFFFFF"/>
      <name val="Arial"/>
      <family val="2"/>
    </font>
    <font>
      <b/>
      <sz val="12"/>
      <color theme="0"/>
      <name val="Arial"/>
      <family val="2"/>
      <scheme val="minor"/>
    </font>
    <font>
      <b/>
      <sz val="12"/>
      <color theme="1"/>
      <name val="Arial"/>
      <family val="2"/>
      <scheme val="major"/>
    </font>
    <font>
      <sz val="12"/>
      <name val="Arial"/>
      <family val="2"/>
      <scheme val="major"/>
    </font>
    <font>
      <sz val="12"/>
      <color rgb="FF000000"/>
      <name val="Arial"/>
      <family val="2"/>
    </font>
    <font>
      <sz val="12"/>
      <color theme="1"/>
      <name val="Arial"/>
      <family val="2"/>
    </font>
    <font>
      <sz val="12"/>
      <color theme="1"/>
      <name val="Arial"/>
      <family val="2"/>
      <scheme val="major"/>
    </font>
    <font>
      <vertAlign val="subscript"/>
      <sz val="8"/>
      <color theme="1"/>
      <name val="Arial"/>
      <family val="2"/>
      <scheme val="minor"/>
    </font>
    <font>
      <sz val="9"/>
      <color rgb="FF000000"/>
      <name val="Arial"/>
      <family val="2"/>
    </font>
    <font>
      <b/>
      <sz val="9"/>
      <color rgb="FFFFFFFF"/>
      <name val="Arial"/>
      <family val="2"/>
    </font>
    <font>
      <sz val="9"/>
      <color theme="1"/>
      <name val="Arial"/>
      <family val="2"/>
    </font>
    <font>
      <i/>
      <sz val="11"/>
      <color theme="3"/>
      <name val="Arial"/>
      <family val="2"/>
      <scheme val="minor"/>
    </font>
    <font>
      <b/>
      <sz val="11"/>
      <color theme="0"/>
      <name val="Arial"/>
      <family val="2"/>
    </font>
    <font>
      <vertAlign val="superscript"/>
      <sz val="11"/>
      <color theme="1"/>
      <name val="Arial"/>
      <family val="2"/>
      <scheme val="minor"/>
    </font>
    <font>
      <b/>
      <sz val="12"/>
      <color rgb="FF000000"/>
      <name val="Arial"/>
      <family val="2"/>
    </font>
    <font>
      <b/>
      <sz val="9"/>
      <color rgb="FF000000"/>
      <name val="Arial"/>
      <family val="2"/>
    </font>
    <font>
      <sz val="11"/>
      <color theme="3"/>
      <name val="Arial"/>
      <family val="2"/>
      <scheme val="minor"/>
    </font>
  </fonts>
  <fills count="25">
    <fill>
      <patternFill patternType="none"/>
    </fill>
    <fill>
      <patternFill patternType="gray125"/>
    </fill>
    <fill>
      <patternFill patternType="solid">
        <fgColor rgb="FFF2F2F2"/>
      </patternFill>
    </fill>
    <fill>
      <patternFill patternType="solid">
        <fgColor theme="4"/>
      </patternFill>
    </fill>
    <fill>
      <patternFill patternType="solid">
        <fgColor theme="4"/>
        <bgColor indexed="64"/>
      </patternFill>
    </fill>
    <fill>
      <patternFill patternType="solid">
        <fgColor theme="1"/>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8" tint="0.79998168889431442"/>
        <bgColor indexed="64"/>
      </patternFill>
    </fill>
    <fill>
      <patternFill patternType="solid">
        <fgColor rgb="FF54585A"/>
        <bgColor indexed="64"/>
      </patternFill>
    </fill>
    <fill>
      <patternFill patternType="solid">
        <fgColor indexed="56"/>
        <bgColor indexed="23"/>
      </patternFill>
    </fill>
    <fill>
      <patternFill patternType="solid">
        <fgColor rgb="FFC6EFCE"/>
      </patternFill>
    </fill>
    <fill>
      <patternFill patternType="solid">
        <fgColor theme="7" tint="0.79998168889431442"/>
        <bgColor indexed="64"/>
      </patternFill>
    </fill>
  </fills>
  <borders count="7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dashed">
        <color rgb="FFBFBFBF"/>
      </bottom>
      <diagonal/>
    </border>
    <border>
      <left style="thin">
        <color indexed="64"/>
      </left>
      <right style="thin">
        <color indexed="64"/>
      </right>
      <top style="thin">
        <color indexed="64"/>
      </top>
      <bottom style="thin">
        <color rgb="FFFF0000"/>
      </bottom>
      <diagonal/>
    </border>
    <border>
      <left style="thin">
        <color rgb="FFFF0000"/>
      </left>
      <right style="thin">
        <color rgb="FFFF0000"/>
      </right>
      <top style="thin">
        <color rgb="FFFF0000"/>
      </top>
      <bottom style="thin">
        <color indexed="64"/>
      </bottom>
      <diagonal/>
    </border>
    <border>
      <left/>
      <right style="thin">
        <color rgb="FFFF0000"/>
      </right>
      <top style="thin">
        <color rgb="FFFF0000"/>
      </top>
      <bottom/>
      <diagonal/>
    </border>
    <border>
      <left style="thin">
        <color rgb="FFFF0000"/>
      </left>
      <right style="thin">
        <color rgb="FFFF0000"/>
      </right>
      <top style="thin">
        <color indexed="64"/>
      </top>
      <bottom style="thin">
        <color indexed="64"/>
      </bottom>
      <diagonal/>
    </border>
    <border>
      <left/>
      <right style="thin">
        <color rgb="FFFF0000"/>
      </right>
      <top/>
      <bottom/>
      <diagonal/>
    </border>
    <border>
      <left style="thin">
        <color rgb="FFFF0000"/>
      </left>
      <right style="thin">
        <color rgb="FFFF0000"/>
      </right>
      <top style="thin">
        <color indexed="64"/>
      </top>
      <bottom style="thin">
        <color rgb="FFFF0000"/>
      </bottom>
      <diagonal/>
    </border>
    <border>
      <left/>
      <right style="thin">
        <color rgb="FFFF0000"/>
      </right>
      <top/>
      <bottom style="thin">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style="thin">
        <color theme="2"/>
      </left>
      <right style="thin">
        <color indexed="64"/>
      </right>
      <top style="thin">
        <color theme="2"/>
      </top>
      <bottom style="thin">
        <color indexed="64"/>
      </bottom>
      <diagonal/>
    </border>
    <border>
      <left style="thin">
        <color theme="2"/>
      </left>
      <right style="thin">
        <color theme="2"/>
      </right>
      <top style="thin">
        <color theme="2"/>
      </top>
      <bottom style="thin">
        <color indexed="64"/>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right style="medium">
        <color rgb="FF000000"/>
      </right>
      <top/>
      <bottom style="medium">
        <color indexed="64"/>
      </bottom>
      <diagonal/>
    </border>
    <border>
      <left style="medium">
        <color indexed="64"/>
      </left>
      <right/>
      <top/>
      <bottom style="medium">
        <color indexed="64"/>
      </bottom>
      <diagonal/>
    </border>
    <border>
      <left style="thin">
        <color indexed="64"/>
      </left>
      <right style="thin">
        <color theme="2"/>
      </right>
      <top/>
      <bottom style="thin">
        <color theme="2"/>
      </bottom>
      <diagonal/>
    </border>
    <border>
      <left style="thin">
        <color theme="2"/>
      </left>
      <right style="thin">
        <color theme="2"/>
      </right>
      <top/>
      <bottom style="thin">
        <color theme="2"/>
      </bottom>
      <diagonal/>
    </border>
    <border>
      <left style="thin">
        <color indexed="64"/>
      </left>
      <right style="thin">
        <color theme="2"/>
      </right>
      <top style="thin">
        <color indexed="64"/>
      </top>
      <bottom/>
      <diagonal/>
    </border>
    <border>
      <left style="thin">
        <color theme="2"/>
      </left>
      <right style="thin">
        <color theme="2"/>
      </right>
      <top style="thin">
        <color indexed="64"/>
      </top>
      <bottom/>
      <diagonal/>
    </border>
    <border>
      <left style="thin">
        <color theme="2"/>
      </left>
      <right style="thin">
        <color indexed="64"/>
      </right>
      <top style="thin">
        <color indexed="64"/>
      </top>
      <bottom/>
      <diagonal/>
    </border>
    <border>
      <left style="thin">
        <color theme="2"/>
      </left>
      <right style="thin">
        <color indexed="64"/>
      </right>
      <top/>
      <bottom style="thin">
        <color theme="2"/>
      </bottom>
      <diagonal/>
    </border>
    <border>
      <left style="thin">
        <color theme="2"/>
      </left>
      <right/>
      <top style="thin">
        <color indexed="64"/>
      </top>
      <bottom style="thin">
        <color theme="2"/>
      </bottom>
      <diagonal/>
    </border>
    <border>
      <left style="thin">
        <color theme="2"/>
      </left>
      <right/>
      <top style="thin">
        <color theme="2"/>
      </top>
      <bottom style="thin">
        <color theme="2"/>
      </bottom>
      <diagonal/>
    </border>
    <border>
      <left/>
      <right/>
      <top style="thin">
        <color indexed="64"/>
      </top>
      <bottom style="thin">
        <color theme="2"/>
      </bottom>
      <diagonal/>
    </border>
    <border>
      <left/>
      <right style="thin">
        <color theme="2"/>
      </right>
      <top style="thin">
        <color indexed="64"/>
      </top>
      <bottom style="thin">
        <color theme="2"/>
      </bottom>
      <diagonal/>
    </border>
    <border>
      <left/>
      <right style="thin">
        <color indexed="64"/>
      </right>
      <top style="thin">
        <color indexed="64"/>
      </top>
      <bottom style="thin">
        <color theme="2"/>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20"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9" fillId="0" borderId="19" applyNumberFormat="0" applyFont="0" applyProtection="0">
      <alignment wrapText="1"/>
    </xf>
    <xf numFmtId="0" fontId="69" fillId="0" borderId="0"/>
    <xf numFmtId="0" fontId="20" fillId="0" borderId="0" applyNumberFormat="0" applyFill="0" applyBorder="0" applyAlignment="0" applyProtection="0">
      <alignment vertical="top"/>
      <protection locked="0"/>
    </xf>
    <xf numFmtId="0" fontId="90" fillId="0" borderId="0"/>
    <xf numFmtId="0" fontId="97" fillId="0" borderId="0">
      <alignment horizontal="left"/>
    </xf>
    <xf numFmtId="0" fontId="99" fillId="0" borderId="0">
      <alignment horizontal="left"/>
    </xf>
    <xf numFmtId="0" fontId="1" fillId="0" borderId="0"/>
    <xf numFmtId="0" fontId="98" fillId="0" borderId="0"/>
    <xf numFmtId="0" fontId="102" fillId="23" borderId="0" applyNumberFormat="0" applyBorder="0" applyAlignment="0" applyProtection="0"/>
  </cellStyleXfs>
  <cellXfs count="1285">
    <xf numFmtId="0" fontId="0" fillId="0" borderId="0" xfId="0"/>
    <xf numFmtId="0" fontId="0" fillId="0" borderId="0" xfId="0" applyFont="1"/>
    <xf numFmtId="0" fontId="0" fillId="0" borderId="0" xfId="0" applyAlignment="1">
      <alignment horizontal="center"/>
    </xf>
    <xf numFmtId="0" fontId="3" fillId="4" borderId="0" xfId="0" applyFont="1" applyFill="1" applyAlignment="1">
      <alignment horizontal="center"/>
    </xf>
    <xf numFmtId="0" fontId="0" fillId="0" borderId="0" xfId="0" applyAlignment="1">
      <alignment horizontal="left"/>
    </xf>
    <xf numFmtId="0" fontId="5" fillId="0" borderId="0" xfId="0" applyFont="1" applyAlignment="1">
      <alignment horizontal="left"/>
    </xf>
    <xf numFmtId="0" fontId="0" fillId="0" borderId="2" xfId="0" applyBorder="1" applyAlignment="1">
      <alignment horizontal="center"/>
    </xf>
    <xf numFmtId="0" fontId="8" fillId="5" borderId="0" xfId="0" applyFont="1" applyFill="1" applyAlignment="1">
      <alignment vertical="top"/>
    </xf>
    <xf numFmtId="0" fontId="9" fillId="5" borderId="0" xfId="0" applyFont="1" applyFill="1" applyAlignment="1">
      <alignment vertical="top"/>
    </xf>
    <xf numFmtId="0" fontId="10" fillId="5" borderId="0" xfId="0" applyFont="1" applyFill="1" applyAlignment="1">
      <alignment horizontal="center" vertical="top"/>
    </xf>
    <xf numFmtId="0" fontId="10" fillId="5" borderId="0" xfId="0" applyFont="1" applyFill="1" applyAlignment="1">
      <alignment horizontal="center" vertical="top" wrapText="1" shrinkToFit="1"/>
    </xf>
    <xf numFmtId="0" fontId="11" fillId="5" borderId="0" xfId="0" applyFont="1" applyFill="1" applyAlignment="1">
      <alignment vertical="top"/>
    </xf>
    <xf numFmtId="0" fontId="10" fillId="5" borderId="0" xfId="0" applyFont="1" applyFill="1" applyAlignment="1">
      <alignment vertical="top"/>
    </xf>
    <xf numFmtId="0" fontId="12" fillId="0" borderId="0" xfId="0" applyFont="1" applyFill="1" applyAlignment="1">
      <alignment vertical="top"/>
    </xf>
    <xf numFmtId="0" fontId="13" fillId="0" borderId="0" xfId="0" applyFont="1" applyFill="1" applyAlignment="1">
      <alignment vertical="top"/>
    </xf>
    <xf numFmtId="0" fontId="12" fillId="0" borderId="0" xfId="0" applyFont="1" applyFill="1" applyAlignment="1">
      <alignment horizontal="center" vertical="top"/>
    </xf>
    <xf numFmtId="0" fontId="12" fillId="0" borderId="0" xfId="0" applyFont="1" applyFill="1" applyAlignment="1">
      <alignment horizontal="center" vertical="top" wrapText="1" shrinkToFit="1"/>
    </xf>
    <xf numFmtId="0" fontId="11" fillId="0" borderId="0" xfId="0" applyFont="1" applyFill="1" applyAlignment="1">
      <alignment vertical="top"/>
    </xf>
    <xf numFmtId="0" fontId="14" fillId="0" borderId="0" xfId="0" applyFont="1"/>
    <xf numFmtId="0" fontId="15" fillId="0" borderId="0" xfId="0" applyFont="1"/>
    <xf numFmtId="0" fontId="13" fillId="0" borderId="0" xfId="0" applyFont="1" applyAlignment="1">
      <alignment vertical="top"/>
    </xf>
    <xf numFmtId="0" fontId="12" fillId="0" borderId="0" xfId="0" applyFont="1" applyAlignment="1">
      <alignment vertical="top"/>
    </xf>
    <xf numFmtId="0" fontId="13" fillId="0" borderId="0" xfId="0" applyFont="1" applyAlignment="1">
      <alignment horizontal="center" vertical="top"/>
    </xf>
    <xf numFmtId="5" fontId="16" fillId="7" borderId="2" xfId="2" applyNumberFormat="1" applyFont="1" applyFill="1" applyBorder="1" applyAlignment="1">
      <alignment horizontal="center" vertical="top"/>
    </xf>
    <xf numFmtId="0" fontId="16" fillId="0" borderId="0" xfId="0" applyFont="1" applyFill="1" applyAlignment="1">
      <alignment horizontal="center" vertical="top"/>
    </xf>
    <xf numFmtId="0" fontId="11" fillId="0" borderId="0" xfId="0" applyFont="1" applyAlignment="1">
      <alignment vertical="top"/>
    </xf>
    <xf numFmtId="165" fontId="22" fillId="0" borderId="0" xfId="3" applyNumberFormat="1" applyFont="1" applyBorder="1" applyAlignment="1">
      <alignment vertical="top"/>
    </xf>
    <xf numFmtId="0" fontId="22" fillId="0" borderId="0" xfId="0" applyFont="1" applyBorder="1" applyAlignment="1">
      <alignment vertical="top"/>
    </xf>
    <xf numFmtId="166" fontId="13" fillId="0" borderId="0" xfId="0" applyNumberFormat="1" applyFont="1" applyFill="1" applyAlignment="1">
      <alignment horizontal="center" vertical="top"/>
    </xf>
    <xf numFmtId="0" fontId="13" fillId="0" borderId="0" xfId="0" applyFont="1" applyFill="1" applyAlignment="1">
      <alignment horizontal="center" vertical="top"/>
    </xf>
    <xf numFmtId="5" fontId="22" fillId="0" borderId="0" xfId="0" applyNumberFormat="1" applyFont="1" applyBorder="1" applyAlignment="1">
      <alignment vertical="top"/>
    </xf>
    <xf numFmtId="0" fontId="21" fillId="0" borderId="0" xfId="6" applyFont="1" applyAlignment="1" applyProtection="1">
      <alignment horizontal="left" vertical="top" wrapText="1" shrinkToFit="1"/>
    </xf>
    <xf numFmtId="0" fontId="13" fillId="0" borderId="0" xfId="0" applyFont="1" applyBorder="1" applyAlignment="1">
      <alignment horizontal="left" vertical="top" indent="2"/>
    </xf>
    <xf numFmtId="0" fontId="13" fillId="0" borderId="0" xfId="0" applyFont="1" applyBorder="1" applyAlignment="1">
      <alignment horizontal="center" vertical="top"/>
    </xf>
    <xf numFmtId="167" fontId="13" fillId="0" borderId="2" xfId="3" applyNumberFormat="1" applyFont="1" applyFill="1" applyBorder="1" applyAlignment="1">
      <alignment horizontal="right" vertical="top"/>
    </xf>
    <xf numFmtId="168" fontId="13" fillId="0" borderId="0" xfId="0" applyNumberFormat="1" applyFont="1" applyAlignment="1">
      <alignment horizontal="center" vertical="top"/>
    </xf>
    <xf numFmtId="0" fontId="13" fillId="0" borderId="0" xfId="0" applyFont="1" applyAlignment="1">
      <alignment horizontal="left" vertical="top"/>
    </xf>
    <xf numFmtId="169" fontId="13" fillId="0" borderId="0" xfId="3" applyNumberFormat="1" applyFont="1" applyFill="1" applyAlignment="1">
      <alignment horizontal="right" vertical="top"/>
    </xf>
    <xf numFmtId="0" fontId="16" fillId="8" borderId="3" xfId="0" applyFont="1" applyFill="1" applyBorder="1" applyAlignment="1">
      <alignment vertical="top"/>
    </xf>
    <xf numFmtId="0" fontId="21" fillId="8" borderId="4" xfId="6" applyFont="1" applyFill="1" applyBorder="1" applyAlignment="1" applyProtection="1">
      <alignment horizontal="left" vertical="top" wrapText="1" shrinkToFit="1"/>
    </xf>
    <xf numFmtId="0" fontId="16" fillId="8" borderId="5" xfId="0" applyFont="1" applyFill="1" applyBorder="1" applyAlignment="1">
      <alignment vertical="top"/>
    </xf>
    <xf numFmtId="0" fontId="21" fillId="8" borderId="6" xfId="6" applyFont="1" applyFill="1" applyBorder="1" applyAlignment="1" applyProtection="1">
      <alignment horizontal="left" vertical="top" wrapText="1" shrinkToFit="1"/>
    </xf>
    <xf numFmtId="0" fontId="13" fillId="0" borderId="0" xfId="0" applyFont="1" applyAlignment="1">
      <alignment vertical="top" wrapText="1" shrinkToFit="1"/>
    </xf>
    <xf numFmtId="0" fontId="13" fillId="0" borderId="0" xfId="0" applyFont="1" applyBorder="1" applyAlignment="1">
      <alignment horizontal="left" vertical="top" wrapText="1" indent="2"/>
    </xf>
    <xf numFmtId="170" fontId="13" fillId="0" borderId="0" xfId="2" applyNumberFormat="1" applyFont="1" applyFill="1" applyAlignment="1">
      <alignment horizontal="center" vertical="top"/>
    </xf>
    <xf numFmtId="0" fontId="17" fillId="0" borderId="0" xfId="0" applyFont="1" applyAlignment="1">
      <alignment horizontal="left" vertical="center" wrapText="1" shrinkToFit="1"/>
    </xf>
    <xf numFmtId="0" fontId="21" fillId="0" borderId="0" xfId="6" applyFont="1" applyAlignment="1" applyProtection="1">
      <alignment horizontal="left" vertical="center" wrapText="1" shrinkToFit="1"/>
    </xf>
    <xf numFmtId="0" fontId="21" fillId="0" borderId="0" xfId="6" applyFont="1" applyAlignment="1" applyProtection="1">
      <alignment vertical="top" wrapText="1" shrinkToFit="1"/>
    </xf>
    <xf numFmtId="170" fontId="22" fillId="0" borderId="0" xfId="2" applyNumberFormat="1" applyFont="1" applyFill="1" applyBorder="1" applyAlignment="1">
      <alignment horizontal="center" vertical="top"/>
    </xf>
    <xf numFmtId="0" fontId="23" fillId="0" borderId="0" xfId="6" applyFont="1" applyAlignment="1" applyProtection="1">
      <alignment vertical="top"/>
    </xf>
    <xf numFmtId="0" fontId="23" fillId="0" borderId="0" xfId="7" applyFont="1" applyAlignment="1">
      <alignment vertical="top"/>
    </xf>
    <xf numFmtId="0" fontId="13" fillId="0" borderId="0" xfId="7" applyFont="1" applyAlignment="1">
      <alignment vertical="top"/>
    </xf>
    <xf numFmtId="0" fontId="12" fillId="0" borderId="0" xfId="0" applyFont="1" applyFill="1" applyBorder="1" applyAlignment="1">
      <alignment horizontal="center" vertical="top"/>
    </xf>
    <xf numFmtId="0" fontId="24" fillId="0" borderId="2" xfId="6" applyFont="1" applyBorder="1" applyAlignment="1" applyProtection="1">
      <alignment vertical="top"/>
    </xf>
    <xf numFmtId="0" fontId="12" fillId="0" borderId="2" xfId="7" applyFont="1" applyBorder="1" applyAlignment="1">
      <alignment horizontal="center" vertical="top"/>
    </xf>
    <xf numFmtId="0" fontId="23" fillId="0" borderId="2" xfId="7" applyFont="1" applyBorder="1" applyAlignment="1">
      <alignment horizontal="center" vertical="top"/>
    </xf>
    <xf numFmtId="0" fontId="12" fillId="0" borderId="0" xfId="0" applyFont="1" applyBorder="1" applyAlignment="1">
      <alignment horizontal="center" vertical="top"/>
    </xf>
    <xf numFmtId="0" fontId="16" fillId="0" borderId="2" xfId="6" applyFont="1" applyBorder="1" applyAlignment="1" applyProtection="1">
      <alignment vertical="top"/>
    </xf>
    <xf numFmtId="171" fontId="13" fillId="7" borderId="2" xfId="7" applyNumberFormat="1" applyFont="1" applyFill="1" applyBorder="1" applyAlignment="1">
      <alignment horizontal="center" vertical="top"/>
    </xf>
    <xf numFmtId="0" fontId="16" fillId="0" borderId="0" xfId="6" applyFont="1" applyAlignment="1" applyProtection="1">
      <alignment vertical="top"/>
    </xf>
    <xf numFmtId="0" fontId="25" fillId="0" borderId="0" xfId="0" applyFont="1" applyAlignment="1">
      <alignment vertical="top"/>
    </xf>
    <xf numFmtId="0" fontId="12" fillId="0" borderId="0" xfId="7" applyFont="1" applyAlignment="1">
      <alignment vertical="top"/>
    </xf>
    <xf numFmtId="0" fontId="12" fillId="0" borderId="2" xfId="7" applyFont="1" applyFill="1" applyBorder="1" applyAlignment="1">
      <alignment horizontal="center" vertical="top"/>
    </xf>
    <xf numFmtId="0" fontId="21" fillId="0" borderId="0" xfId="6" applyFont="1" applyAlignment="1" applyProtection="1">
      <alignment vertical="top"/>
    </xf>
    <xf numFmtId="0" fontId="13" fillId="0" borderId="2" xfId="7" applyFont="1" applyFill="1" applyBorder="1" applyAlignment="1">
      <alignment vertical="top"/>
    </xf>
    <xf numFmtId="172" fontId="13" fillId="7" borderId="2" xfId="8" applyNumberFormat="1" applyFont="1" applyFill="1" applyBorder="1" applyAlignment="1">
      <alignment vertical="top"/>
    </xf>
    <xf numFmtId="172" fontId="13" fillId="0" borderId="2" xfId="8" applyNumberFormat="1" applyFont="1" applyFill="1" applyBorder="1" applyAlignment="1">
      <alignment vertical="top"/>
    </xf>
    <xf numFmtId="165" fontId="13" fillId="0" borderId="2" xfId="9" applyNumberFormat="1" applyFont="1" applyFill="1" applyBorder="1" applyAlignment="1">
      <alignment vertical="top"/>
    </xf>
    <xf numFmtId="0" fontId="16" fillId="0" borderId="0" xfId="7" applyFont="1" applyAlignment="1">
      <alignment vertical="top"/>
    </xf>
    <xf numFmtId="0" fontId="9" fillId="9" borderId="0" xfId="0" applyFont="1" applyFill="1" applyAlignment="1">
      <alignment vertical="top"/>
    </xf>
    <xf numFmtId="0" fontId="10" fillId="9" borderId="0" xfId="0" applyFont="1" applyFill="1" applyAlignment="1">
      <alignment vertical="top"/>
    </xf>
    <xf numFmtId="0" fontId="11" fillId="9" borderId="0" xfId="0" applyFont="1" applyFill="1" applyAlignment="1">
      <alignment vertical="top"/>
    </xf>
    <xf numFmtId="0" fontId="25" fillId="0" borderId="0" xfId="0" applyFont="1" applyAlignment="1">
      <alignment horizontal="right" vertical="top"/>
    </xf>
    <xf numFmtId="0" fontId="12" fillId="0" borderId="0" xfId="0" applyFont="1" applyAlignment="1">
      <alignment horizontal="right" vertical="top"/>
    </xf>
    <xf numFmtId="0" fontId="26" fillId="0" borderId="0" xfId="0" applyFont="1" applyAlignment="1">
      <alignment vertical="top"/>
    </xf>
    <xf numFmtId="9" fontId="22" fillId="0" borderId="0" xfId="3" applyFont="1" applyAlignment="1">
      <alignment horizontal="left" vertical="top"/>
    </xf>
    <xf numFmtId="0" fontId="16" fillId="0" borderId="0" xfId="6" applyFont="1" applyBorder="1" applyAlignment="1" applyProtection="1">
      <alignment vertical="top"/>
    </xf>
    <xf numFmtId="170" fontId="25" fillId="0" borderId="7" xfId="0" applyNumberFormat="1" applyFont="1" applyBorder="1" applyAlignment="1">
      <alignment vertical="top"/>
    </xf>
    <xf numFmtId="170" fontId="13" fillId="0" borderId="0" xfId="0" applyNumberFormat="1" applyFont="1" applyAlignment="1">
      <alignment vertical="top"/>
    </xf>
    <xf numFmtId="0" fontId="27" fillId="0" borderId="0" xfId="0" applyFont="1" applyFill="1" applyAlignment="1">
      <alignment horizontal="center" vertical="top"/>
    </xf>
    <xf numFmtId="5" fontId="22" fillId="0" borderId="0" xfId="0" applyNumberFormat="1" applyFont="1" applyFill="1" applyBorder="1" applyAlignment="1">
      <alignment vertical="top"/>
    </xf>
    <xf numFmtId="167" fontId="22" fillId="0" borderId="0" xfId="0" applyNumberFormat="1" applyFont="1" applyFill="1" applyAlignment="1">
      <alignment vertical="top"/>
    </xf>
    <xf numFmtId="167" fontId="22" fillId="0" borderId="0" xfId="0" applyNumberFormat="1" applyFont="1" applyAlignment="1">
      <alignment vertical="top"/>
    </xf>
    <xf numFmtId="170" fontId="25" fillId="0" borderId="8" xfId="0" applyNumberFormat="1" applyFont="1" applyBorder="1" applyAlignment="1">
      <alignment vertical="top"/>
    </xf>
    <xf numFmtId="170" fontId="25" fillId="0" borderId="9" xfId="0" applyNumberFormat="1" applyFont="1" applyBorder="1" applyAlignment="1">
      <alignment vertical="top"/>
    </xf>
    <xf numFmtId="170" fontId="25" fillId="0" borderId="7" xfId="0" applyNumberFormat="1" applyFont="1" applyFill="1" applyBorder="1" applyAlignment="1">
      <alignment vertical="top"/>
    </xf>
    <xf numFmtId="0" fontId="22" fillId="0" borderId="0" xfId="0" applyFont="1" applyAlignment="1">
      <alignment vertical="top"/>
    </xf>
    <xf numFmtId="170" fontId="25" fillId="0" borderId="8" xfId="0" applyNumberFormat="1" applyFont="1" applyFill="1" applyBorder="1" applyAlignment="1">
      <alignment vertical="top"/>
    </xf>
    <xf numFmtId="171" fontId="13" fillId="0" borderId="0" xfId="0" applyNumberFormat="1" applyFont="1" applyAlignment="1">
      <alignment vertical="top"/>
    </xf>
    <xf numFmtId="44" fontId="13" fillId="0" borderId="0" xfId="0" applyNumberFormat="1" applyFont="1" applyAlignment="1">
      <alignment vertical="top"/>
    </xf>
    <xf numFmtId="170" fontId="25" fillId="0" borderId="9" xfId="0" applyNumberFormat="1" applyFont="1" applyFill="1" applyBorder="1" applyAlignment="1">
      <alignment vertical="top"/>
    </xf>
    <xf numFmtId="0" fontId="13" fillId="0" borderId="0" xfId="0" applyFont="1" applyBorder="1" applyAlignment="1">
      <alignment horizontal="left" vertical="top"/>
    </xf>
    <xf numFmtId="170" fontId="25" fillId="0" borderId="0" xfId="0" applyNumberFormat="1" applyFont="1" applyBorder="1" applyAlignment="1">
      <alignment vertical="top"/>
    </xf>
    <xf numFmtId="9" fontId="11" fillId="0" borderId="0" xfId="3" applyFont="1" applyAlignment="1">
      <alignment horizontal="left" vertical="top"/>
    </xf>
    <xf numFmtId="170" fontId="25" fillId="0" borderId="0" xfId="0" applyNumberFormat="1" applyFont="1" applyFill="1" applyBorder="1" applyAlignment="1">
      <alignment vertical="top"/>
    </xf>
    <xf numFmtId="170" fontId="13" fillId="0" borderId="0" xfId="0" applyNumberFormat="1" applyFont="1" applyFill="1" applyAlignment="1">
      <alignment vertical="top"/>
    </xf>
    <xf numFmtId="170" fontId="25" fillId="0" borderId="10" xfId="2" applyNumberFormat="1" applyFont="1" applyFill="1" applyBorder="1" applyAlignment="1">
      <alignment vertical="top"/>
    </xf>
    <xf numFmtId="0" fontId="13" fillId="0" borderId="0" xfId="0" applyFont="1" applyBorder="1" applyAlignment="1">
      <alignment horizontal="right" vertical="center"/>
    </xf>
    <xf numFmtId="167" fontId="27" fillId="0" borderId="0" xfId="0" applyNumberFormat="1" applyFont="1" applyFill="1" applyBorder="1" applyAlignment="1">
      <alignment vertical="center"/>
    </xf>
    <xf numFmtId="173" fontId="13" fillId="0" borderId="0" xfId="1" applyNumberFormat="1" applyFont="1" applyAlignment="1">
      <alignment vertical="top"/>
    </xf>
    <xf numFmtId="0" fontId="16" fillId="0" borderId="2" xfId="7" applyFont="1" applyBorder="1" applyAlignment="1">
      <alignment vertical="top"/>
    </xf>
    <xf numFmtId="170" fontId="16" fillId="0" borderId="2" xfId="10" applyNumberFormat="1" applyFont="1" applyBorder="1" applyAlignment="1">
      <alignment vertical="top"/>
    </xf>
    <xf numFmtId="170" fontId="25" fillId="0" borderId="2" xfId="7" applyNumberFormat="1" applyFont="1" applyFill="1" applyBorder="1" applyAlignment="1">
      <alignment vertical="top"/>
    </xf>
    <xf numFmtId="164" fontId="25" fillId="0" borderId="0" xfId="7" applyNumberFormat="1" applyFont="1" applyAlignment="1">
      <alignment horizontal="center" vertical="top"/>
    </xf>
    <xf numFmtId="170" fontId="28" fillId="0" borderId="0" xfId="7" applyNumberFormat="1" applyFont="1" applyBorder="1" applyAlignment="1">
      <alignment vertical="top"/>
    </xf>
    <xf numFmtId="44" fontId="16" fillId="0" borderId="0" xfId="7" applyNumberFormat="1" applyFont="1" applyAlignment="1">
      <alignment vertical="top"/>
    </xf>
    <xf numFmtId="0" fontId="29" fillId="0" borderId="0" xfId="7" applyFont="1" applyBorder="1" applyAlignment="1">
      <alignment vertical="top"/>
    </xf>
    <xf numFmtId="0" fontId="25" fillId="0" borderId="0" xfId="0" applyFont="1" applyAlignment="1">
      <alignment vertical="center"/>
    </xf>
    <xf numFmtId="0" fontId="9" fillId="5" borderId="0" xfId="0" applyFont="1" applyFill="1" applyBorder="1" applyAlignment="1">
      <alignment vertical="top" wrapText="1"/>
    </xf>
    <xf numFmtId="0" fontId="10" fillId="5" borderId="0" xfId="0" applyFont="1" applyFill="1" applyBorder="1" applyAlignment="1">
      <alignment horizontal="center" vertical="top"/>
    </xf>
    <xf numFmtId="0" fontId="10" fillId="5" borderId="0" xfId="0" applyFont="1" applyFill="1" applyBorder="1" applyAlignment="1">
      <alignment horizontal="left" vertical="top"/>
    </xf>
    <xf numFmtId="0" fontId="10" fillId="5" borderId="0" xfId="0" applyFont="1" applyFill="1" applyBorder="1" applyAlignment="1">
      <alignment vertical="top"/>
    </xf>
    <xf numFmtId="0" fontId="11" fillId="5" borderId="0" xfId="0" applyFont="1" applyFill="1" applyBorder="1" applyAlignment="1">
      <alignment vertical="top"/>
    </xf>
    <xf numFmtId="0" fontId="12" fillId="0" borderId="2" xfId="0" applyFont="1" applyBorder="1" applyAlignment="1">
      <alignment vertical="top"/>
    </xf>
    <xf numFmtId="0" fontId="12" fillId="0" borderId="2" xfId="0" applyFont="1" applyBorder="1" applyAlignment="1">
      <alignment horizontal="right" vertical="top" wrapText="1"/>
    </xf>
    <xf numFmtId="0" fontId="13" fillId="0" borderId="2" xfId="0" applyFont="1" applyBorder="1" applyAlignment="1">
      <alignment vertical="top"/>
    </xf>
    <xf numFmtId="171" fontId="13" fillId="7" borderId="2" xfId="0" applyNumberFormat="1" applyFont="1" applyFill="1" applyBorder="1" applyAlignment="1">
      <alignment vertical="top"/>
    </xf>
    <xf numFmtId="0" fontId="9" fillId="10" borderId="0" xfId="0" applyFont="1" applyFill="1" applyAlignment="1">
      <alignment vertical="top"/>
    </xf>
    <xf numFmtId="0" fontId="10" fillId="10" borderId="0" xfId="0" applyFont="1" applyFill="1" applyAlignment="1">
      <alignment vertical="top"/>
    </xf>
    <xf numFmtId="0" fontId="12" fillId="0" borderId="2" xfId="0" applyFont="1" applyBorder="1" applyAlignment="1">
      <alignment horizontal="center" vertical="top"/>
    </xf>
    <xf numFmtId="0" fontId="13" fillId="7" borderId="2" xfId="0" applyFont="1" applyFill="1" applyBorder="1" applyAlignment="1">
      <alignment horizontal="center" vertical="top"/>
    </xf>
    <xf numFmtId="2" fontId="13" fillId="7" borderId="2" xfId="0" applyNumberFormat="1" applyFont="1" applyFill="1" applyBorder="1" applyAlignment="1">
      <alignment horizontal="center" vertical="top"/>
    </xf>
    <xf numFmtId="0" fontId="17" fillId="0" borderId="0" xfId="0" applyFont="1" applyAlignment="1">
      <alignment vertical="top"/>
    </xf>
    <xf numFmtId="0" fontId="8" fillId="5" borderId="0" xfId="0" applyFont="1" applyFill="1" applyBorder="1" applyAlignment="1"/>
    <xf numFmtId="0" fontId="9" fillId="5" borderId="0" xfId="0" applyFont="1" applyFill="1" applyBorder="1" applyAlignment="1"/>
    <xf numFmtId="0" fontId="13" fillId="5" borderId="0" xfId="0" applyFont="1" applyFill="1" applyBorder="1" applyAlignment="1">
      <alignment horizontal="right" vertical="center"/>
    </xf>
    <xf numFmtId="0" fontId="13" fillId="5" borderId="0" xfId="0" applyFont="1" applyFill="1" applyBorder="1" applyAlignment="1">
      <alignment horizontal="center" vertical="center"/>
    </xf>
    <xf numFmtId="0" fontId="13" fillId="5" borderId="0" xfId="0" applyFont="1" applyFill="1" applyBorder="1" applyAlignment="1">
      <alignment horizontal="left" vertical="center" shrinkToFit="1"/>
    </xf>
    <xf numFmtId="0" fontId="13" fillId="5" borderId="0" xfId="0" applyFont="1" applyFill="1" applyBorder="1" applyAlignment="1">
      <alignment shrinkToFit="1"/>
    </xf>
    <xf numFmtId="0" fontId="13" fillId="5" borderId="0" xfId="0" applyFont="1" applyFill="1" applyBorder="1" applyAlignment="1">
      <alignment horizontal="right"/>
    </xf>
    <xf numFmtId="0" fontId="16" fillId="5" borderId="0" xfId="0" applyFont="1" applyFill="1" applyBorder="1" applyAlignment="1">
      <alignment horizontal="right"/>
    </xf>
    <xf numFmtId="0" fontId="13" fillId="5" borderId="0" xfId="0" applyFont="1" applyFill="1" applyBorder="1"/>
    <xf numFmtId="0" fontId="13" fillId="5" borderId="0" xfId="0" applyFont="1" applyFill="1" applyBorder="1" applyAlignment="1">
      <alignment horizontal="center"/>
    </xf>
    <xf numFmtId="0" fontId="9" fillId="5" borderId="0" xfId="5" applyFont="1" applyFill="1" applyBorder="1" applyAlignment="1">
      <alignment horizontal="center" wrapText="1"/>
    </xf>
    <xf numFmtId="0" fontId="9" fillId="5" borderId="0" xfId="5" applyFont="1" applyFill="1" applyBorder="1" applyAlignment="1">
      <alignment horizontal="center" vertical="center"/>
    </xf>
    <xf numFmtId="0" fontId="9" fillId="5" borderId="0" xfId="5" applyFont="1" applyFill="1" applyBorder="1" applyAlignment="1">
      <alignment horizontal="center" vertical="center" wrapText="1"/>
    </xf>
    <xf numFmtId="0" fontId="9" fillId="5" borderId="0" xfId="5" applyFont="1" applyFill="1" applyBorder="1" applyAlignment="1">
      <alignment horizontal="center" vertical="center" shrinkToFit="1"/>
    </xf>
    <xf numFmtId="0" fontId="9" fillId="5" borderId="0" xfId="5" applyFont="1" applyFill="1" applyBorder="1" applyAlignment="1">
      <alignment horizontal="center" shrinkToFit="1"/>
    </xf>
    <xf numFmtId="0" fontId="9" fillId="5" borderId="0" xfId="0" applyFont="1" applyFill="1" applyBorder="1" applyAlignment="1">
      <alignment horizontal="center" shrinkToFit="1"/>
    </xf>
    <xf numFmtId="0" fontId="16" fillId="5" borderId="0" xfId="0" applyFont="1" applyFill="1" applyBorder="1" applyAlignment="1">
      <alignment horizontal="center"/>
    </xf>
    <xf numFmtId="0" fontId="13" fillId="0" borderId="0" xfId="0" applyFont="1" applyFill="1" applyBorder="1" applyAlignment="1">
      <alignment horizontal="center"/>
    </xf>
    <xf numFmtId="0" fontId="9" fillId="0" borderId="0" xfId="5" applyFont="1" applyFill="1" applyBorder="1" applyAlignment="1">
      <alignment horizontal="center" wrapText="1"/>
    </xf>
    <xf numFmtId="0" fontId="9" fillId="0" borderId="0" xfId="5" applyFont="1" applyFill="1" applyBorder="1" applyAlignment="1">
      <alignment horizontal="center" vertical="center"/>
    </xf>
    <xf numFmtId="0" fontId="9" fillId="0" borderId="0" xfId="5" applyFont="1" applyFill="1" applyBorder="1" applyAlignment="1">
      <alignment horizontal="center" vertical="center" wrapText="1"/>
    </xf>
    <xf numFmtId="0" fontId="9" fillId="0" borderId="0" xfId="5" applyFont="1" applyFill="1" applyBorder="1" applyAlignment="1">
      <alignment horizontal="center" vertical="center" shrinkToFit="1"/>
    </xf>
    <xf numFmtId="0" fontId="9" fillId="0" borderId="0" xfId="5" applyFont="1" applyFill="1" applyBorder="1" applyAlignment="1">
      <alignment horizontal="center" shrinkToFit="1"/>
    </xf>
    <xf numFmtId="0" fontId="9" fillId="0" borderId="0" xfId="0" applyFont="1" applyFill="1" applyBorder="1" applyAlignment="1">
      <alignment horizontal="center" shrinkToFit="1"/>
    </xf>
    <xf numFmtId="0" fontId="16" fillId="0" borderId="0" xfId="0" applyFont="1" applyFill="1" applyBorder="1" applyAlignment="1">
      <alignment horizontal="center"/>
    </xf>
    <xf numFmtId="0" fontId="10" fillId="5" borderId="0" xfId="0" applyFont="1" applyFill="1" applyAlignment="1">
      <alignment vertical="center"/>
    </xf>
    <xf numFmtId="0" fontId="9" fillId="5" borderId="0" xfId="0" applyFont="1" applyFill="1" applyAlignment="1">
      <alignment vertical="center"/>
    </xf>
    <xf numFmtId="0" fontId="10" fillId="5" borderId="0" xfId="0" applyFont="1" applyFill="1" applyAlignment="1">
      <alignment vertical="center" shrinkToFit="1"/>
    </xf>
    <xf numFmtId="0" fontId="10" fillId="5" borderId="0" xfId="0" applyFont="1" applyFill="1" applyAlignment="1">
      <alignment horizontal="left" vertical="center"/>
    </xf>
    <xf numFmtId="0" fontId="13" fillId="0" borderId="0" xfId="0" applyFont="1" applyBorder="1"/>
    <xf numFmtId="0" fontId="25" fillId="0" borderId="0" xfId="0" applyFont="1" applyFill="1" applyBorder="1" applyAlignment="1">
      <alignment vertical="center"/>
    </xf>
    <xf numFmtId="0" fontId="13" fillId="0" borderId="0" xfId="0" applyFont="1" applyBorder="1" applyAlignment="1">
      <alignment horizontal="center" vertical="center"/>
    </xf>
    <xf numFmtId="0" fontId="13" fillId="0" borderId="0" xfId="0" applyFont="1" applyFill="1" applyBorder="1" applyAlignment="1">
      <alignment horizontal="left" vertical="center" shrinkToFit="1"/>
    </xf>
    <xf numFmtId="0" fontId="13" fillId="0" borderId="0" xfId="0" applyFont="1" applyBorder="1" applyAlignment="1">
      <alignment shrinkToFit="1"/>
    </xf>
    <xf numFmtId="0" fontId="13" fillId="0" borderId="0" xfId="0" applyFont="1" applyBorder="1" applyAlignment="1">
      <alignment horizontal="right"/>
    </xf>
    <xf numFmtId="0" fontId="16" fillId="0" borderId="0" xfId="0" applyFont="1" applyBorder="1" applyAlignment="1">
      <alignment horizontal="right"/>
    </xf>
    <xf numFmtId="0" fontId="12" fillId="0" borderId="0" xfId="0" applyFont="1" applyBorder="1" applyAlignment="1">
      <alignment horizontal="left" vertical="center" wrapText="1"/>
    </xf>
    <xf numFmtId="0" fontId="12" fillId="0" borderId="0" xfId="0" applyFont="1" applyBorder="1" applyAlignment="1">
      <alignment horizontal="left" vertical="center" wrapText="1" indent="2"/>
    </xf>
    <xf numFmtId="0" fontId="13" fillId="0" borderId="0" xfId="0" applyFont="1" applyBorder="1" applyAlignment="1">
      <alignment horizontal="center" vertical="center" wrapText="1"/>
    </xf>
    <xf numFmtId="0" fontId="13" fillId="0" borderId="0" xfId="0" applyFont="1" applyAlignment="1">
      <alignment shrinkToFit="1"/>
    </xf>
    <xf numFmtId="0" fontId="13" fillId="0" borderId="0" xfId="0" applyFont="1"/>
    <xf numFmtId="0" fontId="13" fillId="0" borderId="0" xfId="0" applyFont="1" applyBorder="1" applyAlignment="1">
      <alignment horizontal="left" wrapText="1" indent="4"/>
    </xf>
    <xf numFmtId="44" fontId="16" fillId="7" borderId="0" xfId="4" applyNumberFormat="1" applyFont="1" applyFill="1" applyBorder="1" applyAlignment="1">
      <alignment horizontal="right" vertical="center"/>
    </xf>
    <xf numFmtId="44" fontId="16" fillId="0" borderId="0" xfId="4" applyNumberFormat="1" applyFont="1" applyFill="1" applyBorder="1" applyAlignment="1">
      <alignment horizontal="right" vertical="center"/>
    </xf>
    <xf numFmtId="0" fontId="27" fillId="0" borderId="0" xfId="0" applyFont="1" applyFill="1" applyBorder="1" applyAlignment="1">
      <alignment horizontal="center" vertical="center"/>
    </xf>
    <xf numFmtId="166" fontId="22" fillId="8" borderId="0" xfId="4" applyNumberFormat="1" applyFont="1" applyFill="1" applyBorder="1" applyAlignment="1">
      <alignment horizontal="right" vertical="center"/>
    </xf>
    <xf numFmtId="2" fontId="22" fillId="0" borderId="0" xfId="0" applyNumberFormat="1" applyFont="1" applyBorder="1"/>
    <xf numFmtId="0" fontId="16" fillId="0" borderId="0" xfId="0" applyFont="1" applyFill="1" applyBorder="1" applyAlignment="1">
      <alignment horizontal="center" vertical="center"/>
    </xf>
    <xf numFmtId="0" fontId="12" fillId="0" borderId="0" xfId="0" applyFont="1" applyBorder="1" applyAlignment="1">
      <alignment horizontal="left" wrapText="1" indent="2"/>
    </xf>
    <xf numFmtId="166" fontId="16" fillId="0" borderId="0" xfId="0" applyNumberFormat="1" applyFont="1" applyFill="1" applyBorder="1" applyAlignment="1">
      <alignment horizontal="right" vertical="center"/>
    </xf>
    <xf numFmtId="166" fontId="22" fillId="0" borderId="0" xfId="0" applyNumberFormat="1" applyFont="1" applyFill="1" applyBorder="1" applyAlignment="1">
      <alignment horizontal="right" vertical="center"/>
    </xf>
    <xf numFmtId="0" fontId="13" fillId="0" borderId="0" xfId="0" applyFont="1" applyFill="1" applyBorder="1" applyAlignment="1">
      <alignment horizontal="left" wrapText="1" indent="6"/>
    </xf>
    <xf numFmtId="174" fontId="13" fillId="0" borderId="0" xfId="0" applyNumberFormat="1" applyFont="1" applyFill="1" applyBorder="1" applyAlignment="1">
      <alignment horizontal="left" vertical="center" shrinkToFit="1"/>
    </xf>
    <xf numFmtId="166" fontId="22" fillId="0" borderId="0" xfId="0" applyNumberFormat="1" applyFont="1" applyBorder="1" applyAlignment="1">
      <alignment horizontal="right" vertical="center"/>
    </xf>
    <xf numFmtId="166" fontId="22" fillId="0" borderId="0" xfId="4" applyNumberFormat="1" applyFont="1" applyFill="1" applyBorder="1" applyAlignment="1">
      <alignment horizontal="right" vertical="center"/>
    </xf>
    <xf numFmtId="166" fontId="16" fillId="0" borderId="0" xfId="0" applyNumberFormat="1" applyFont="1" applyFill="1" applyBorder="1" applyAlignment="1">
      <alignment horizontal="left" vertical="center"/>
    </xf>
    <xf numFmtId="166" fontId="22" fillId="0" borderId="0" xfId="0" applyNumberFormat="1" applyFont="1" applyFill="1" applyBorder="1" applyAlignment="1">
      <alignment horizontal="left" vertical="center"/>
    </xf>
    <xf numFmtId="0" fontId="10" fillId="9" borderId="0" xfId="0"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shrinkToFit="1"/>
    </xf>
    <xf numFmtId="0" fontId="13" fillId="9" borderId="0" xfId="0" applyFont="1" applyFill="1" applyBorder="1" applyAlignment="1">
      <alignment horizontal="right"/>
    </xf>
    <xf numFmtId="0" fontId="13" fillId="9" borderId="0" xfId="0" applyFont="1" applyFill="1" applyBorder="1"/>
    <xf numFmtId="0" fontId="13" fillId="11" borderId="0" xfId="0" applyFont="1" applyFill="1" applyBorder="1" applyAlignment="1">
      <alignment horizontal="left" vertical="center" shrinkToFit="1"/>
    </xf>
    <xf numFmtId="0" fontId="13" fillId="11" borderId="0" xfId="0" applyFont="1" applyFill="1" applyBorder="1" applyAlignment="1">
      <alignment shrinkToFit="1"/>
    </xf>
    <xf numFmtId="0" fontId="13" fillId="11" borderId="0" xfId="0" applyFont="1" applyFill="1" applyBorder="1" applyAlignment="1">
      <alignment horizontal="right"/>
    </xf>
    <xf numFmtId="0" fontId="12" fillId="11" borderId="0" xfId="0" applyFont="1" applyFill="1" applyBorder="1" applyAlignment="1">
      <alignment horizontal="right" wrapText="1" shrinkToFit="1"/>
    </xf>
    <xf numFmtId="0" fontId="12" fillId="11" borderId="0" xfId="0" applyFont="1" applyFill="1" applyBorder="1" applyAlignment="1">
      <alignment horizontal="right"/>
    </xf>
    <xf numFmtId="167" fontId="27" fillId="0" borderId="2" xfId="0" applyNumberFormat="1" applyFont="1" applyBorder="1" applyAlignment="1">
      <alignment horizontal="right"/>
    </xf>
    <xf numFmtId="165" fontId="13" fillId="0" borderId="2" xfId="3" applyNumberFormat="1" applyFont="1" applyBorder="1" applyAlignment="1">
      <alignment horizontal="right"/>
    </xf>
    <xf numFmtId="44" fontId="25" fillId="0" borderId="0" xfId="4" applyNumberFormat="1" applyFont="1" applyFill="1" applyBorder="1" applyAlignment="1">
      <alignment horizontal="right" vertical="center"/>
    </xf>
    <xf numFmtId="44" fontId="31" fillId="0" borderId="0" xfId="4" applyNumberFormat="1" applyFont="1" applyFill="1" applyBorder="1" applyAlignment="1">
      <alignment horizontal="right" vertical="center"/>
    </xf>
    <xf numFmtId="167" fontId="32" fillId="0" borderId="0" xfId="3" applyNumberFormat="1" applyFont="1" applyBorder="1" applyAlignment="1">
      <alignment horizontal="right"/>
    </xf>
    <xf numFmtId="165" fontId="13" fillId="0" borderId="0" xfId="3" applyNumberFormat="1" applyFont="1" applyBorder="1" applyAlignment="1">
      <alignment horizontal="right"/>
    </xf>
    <xf numFmtId="166" fontId="25" fillId="0" borderId="0" xfId="0" applyNumberFormat="1" applyFont="1" applyFill="1" applyBorder="1" applyAlignment="1">
      <alignment horizontal="right" vertical="center"/>
    </xf>
    <xf numFmtId="167" fontId="16" fillId="0" borderId="0" xfId="0" applyNumberFormat="1" applyFont="1" applyBorder="1" applyAlignment="1">
      <alignment horizontal="right"/>
    </xf>
    <xf numFmtId="165" fontId="13" fillId="0" borderId="0" xfId="0" applyNumberFormat="1" applyFont="1" applyBorder="1" applyAlignment="1">
      <alignment horizontal="right"/>
    </xf>
    <xf numFmtId="167" fontId="27" fillId="0" borderId="0" xfId="0" applyNumberFormat="1" applyFont="1" applyFill="1" applyBorder="1" applyAlignment="1">
      <alignment horizontal="right"/>
    </xf>
    <xf numFmtId="0" fontId="33" fillId="0" borderId="0" xfId="0" applyFont="1" applyBorder="1"/>
    <xf numFmtId="166" fontId="25" fillId="0" borderId="0" xfId="4" applyNumberFormat="1" applyFont="1" applyFill="1" applyBorder="1" applyAlignment="1">
      <alignment horizontal="right" vertical="center"/>
    </xf>
    <xf numFmtId="0" fontId="17" fillId="0" borderId="0" xfId="0" applyFont="1" applyBorder="1"/>
    <xf numFmtId="0" fontId="10" fillId="5" borderId="0" xfId="0" applyFont="1" applyFill="1" applyBorder="1"/>
    <xf numFmtId="0" fontId="9" fillId="5" borderId="0" xfId="0" applyFont="1" applyFill="1" applyBorder="1" applyAlignment="1">
      <alignment wrapText="1"/>
    </xf>
    <xf numFmtId="0" fontId="10" fillId="5" borderId="0" xfId="0" applyFont="1" applyFill="1" applyBorder="1" applyAlignment="1">
      <alignment horizontal="right" vertical="center"/>
    </xf>
    <xf numFmtId="0" fontId="10" fillId="5" borderId="0" xfId="0" applyFont="1" applyFill="1" applyBorder="1" applyAlignment="1">
      <alignment horizontal="center" vertical="center"/>
    </xf>
    <xf numFmtId="0" fontId="10" fillId="5" borderId="0" xfId="0" applyFont="1" applyFill="1" applyBorder="1" applyAlignment="1">
      <alignment horizontal="left" vertical="center" shrinkToFit="1"/>
    </xf>
    <xf numFmtId="0" fontId="10" fillId="5" borderId="0" xfId="0" applyFont="1" applyFill="1" applyBorder="1" applyAlignment="1">
      <alignment shrinkToFit="1"/>
    </xf>
    <xf numFmtId="0" fontId="10" fillId="5" borderId="0" xfId="0" applyFont="1" applyFill="1" applyBorder="1" applyAlignment="1">
      <alignment horizontal="right"/>
    </xf>
    <xf numFmtId="0" fontId="10" fillId="0" borderId="0" xfId="0" applyFont="1" applyFill="1" applyBorder="1"/>
    <xf numFmtId="0" fontId="9" fillId="0" borderId="0" xfId="0" applyFont="1" applyFill="1" applyBorder="1" applyAlignment="1">
      <alignment wrapText="1"/>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shrinkToFit="1"/>
    </xf>
    <xf numFmtId="0" fontId="10" fillId="0" borderId="0" xfId="0" applyFont="1" applyFill="1" applyBorder="1" applyAlignment="1">
      <alignment shrinkToFit="1"/>
    </xf>
    <xf numFmtId="0" fontId="10" fillId="0" borderId="0" xfId="0" applyFont="1" applyFill="1" applyBorder="1" applyAlignment="1">
      <alignment horizontal="right"/>
    </xf>
    <xf numFmtId="0" fontId="16" fillId="0" borderId="0" xfId="0" applyFont="1" applyFill="1" applyBorder="1" applyAlignment="1">
      <alignment horizontal="right"/>
    </xf>
    <xf numFmtId="0" fontId="16" fillId="0" borderId="0" xfId="0" applyFont="1" applyFill="1" applyBorder="1" applyAlignment="1"/>
    <xf numFmtId="0" fontId="10" fillId="0" borderId="0" xfId="0" applyFont="1" applyFill="1" applyBorder="1" applyAlignment="1"/>
    <xf numFmtId="0" fontId="13" fillId="0" borderId="0" xfId="0" applyFont="1" applyFill="1" applyBorder="1"/>
    <xf numFmtId="0" fontId="16" fillId="0" borderId="0" xfId="0" applyFont="1" applyBorder="1" applyAlignment="1">
      <alignment horizontal="left" vertical="center"/>
    </xf>
    <xf numFmtId="0" fontId="17" fillId="0" borderId="0" xfId="0" applyFont="1" applyBorder="1" applyAlignment="1">
      <alignment horizontal="left"/>
    </xf>
    <xf numFmtId="166"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shrinkToFi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3" fillId="0" borderId="0" xfId="0" applyFont="1" applyBorder="1" applyAlignment="1"/>
    <xf numFmtId="0" fontId="13" fillId="0" borderId="0" xfId="0" applyFont="1" applyBorder="1" applyAlignment="1">
      <alignment horizontal="left"/>
    </xf>
    <xf numFmtId="0" fontId="13" fillId="0" borderId="0" xfId="0" applyFont="1" applyBorder="1" applyAlignment="1">
      <alignment vertical="center"/>
    </xf>
    <xf numFmtId="2" fontId="25" fillId="7" borderId="7"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Alignment="1">
      <alignment vertical="center" wrapText="1" shrinkToFit="1"/>
    </xf>
    <xf numFmtId="2" fontId="25" fillId="7" borderId="9" xfId="0" applyNumberFormat="1" applyFont="1" applyFill="1" applyBorder="1" applyAlignment="1">
      <alignment horizontal="right" vertical="center"/>
    </xf>
    <xf numFmtId="0" fontId="21" fillId="0" borderId="0" xfId="6" applyFont="1" applyBorder="1" applyAlignment="1" applyProtection="1">
      <alignment wrapText="1" shrinkToFit="1"/>
    </xf>
    <xf numFmtId="0" fontId="13" fillId="0" borderId="0" xfId="0" applyFont="1" applyBorder="1" applyAlignment="1">
      <alignment horizontal="left" vertical="center" indent="3"/>
    </xf>
    <xf numFmtId="0" fontId="13" fillId="0" borderId="0" xfId="0" applyFont="1" applyBorder="1" applyAlignment="1">
      <alignment wrapText="1" shrinkToFit="1"/>
    </xf>
    <xf numFmtId="0" fontId="13" fillId="0" borderId="2" xfId="0" applyFont="1" applyFill="1" applyBorder="1" applyAlignment="1">
      <alignment horizontal="left" vertical="center" indent="3"/>
    </xf>
    <xf numFmtId="2" fontId="25" fillId="0" borderId="2" xfId="0" applyNumberFormat="1" applyFont="1" applyFill="1" applyBorder="1" applyAlignment="1">
      <alignment horizontal="right" vertical="center"/>
    </xf>
    <xf numFmtId="0" fontId="21" fillId="0" borderId="0" xfId="6" applyFont="1" applyBorder="1" applyAlignment="1" applyProtection="1">
      <alignment shrinkToFit="1"/>
    </xf>
    <xf numFmtId="0" fontId="13" fillId="0" borderId="0" xfId="0" applyFont="1" applyAlignment="1">
      <alignment vertical="center" shrinkToFit="1"/>
    </xf>
    <xf numFmtId="0" fontId="13" fillId="0" borderId="0" xfId="0" applyFont="1" applyBorder="1" applyAlignment="1">
      <alignment wrapText="1"/>
    </xf>
    <xf numFmtId="0" fontId="34" fillId="5" borderId="0" xfId="0" applyFont="1" applyFill="1" applyAlignment="1">
      <alignment vertical="top"/>
    </xf>
    <xf numFmtId="0" fontId="35" fillId="5" borderId="0" xfId="0" applyFont="1" applyFill="1" applyAlignment="1">
      <alignment vertical="top"/>
    </xf>
    <xf numFmtId="0" fontId="36" fillId="5" borderId="0" xfId="0" applyFont="1" applyFill="1" applyAlignment="1">
      <alignment vertical="top"/>
    </xf>
    <xf numFmtId="0" fontId="36" fillId="5" borderId="0" xfId="0" applyFont="1" applyFill="1" applyAlignment="1">
      <alignment horizontal="center" vertical="top"/>
    </xf>
    <xf numFmtId="0" fontId="36" fillId="5" borderId="0" xfId="0" applyFont="1" applyFill="1" applyAlignment="1">
      <alignment vertical="top" wrapText="1" shrinkToFit="1"/>
    </xf>
    <xf numFmtId="0" fontId="37" fillId="5" borderId="0" xfId="6" applyFont="1" applyFill="1" applyAlignment="1" applyProtection="1">
      <alignment vertical="top" wrapText="1" shrinkToFit="1"/>
    </xf>
    <xf numFmtId="0" fontId="38" fillId="0" borderId="0" xfId="0" applyFont="1" applyFill="1" applyAlignment="1">
      <alignment vertical="top"/>
    </xf>
    <xf numFmtId="0" fontId="39" fillId="0" borderId="0" xfId="0" applyFont="1" applyFill="1" applyAlignment="1">
      <alignment vertical="top"/>
    </xf>
    <xf numFmtId="0" fontId="39" fillId="0" borderId="0" xfId="0" applyFont="1" applyFill="1" applyAlignment="1">
      <alignment horizontal="center" vertical="top"/>
    </xf>
    <xf numFmtId="170" fontId="39" fillId="0" borderId="0" xfId="2" applyNumberFormat="1" applyFont="1" applyFill="1" applyAlignment="1">
      <alignment horizontal="center" vertical="top"/>
    </xf>
    <xf numFmtId="44" fontId="40" fillId="0" borderId="0" xfId="0" applyNumberFormat="1" applyFont="1" applyFill="1" applyAlignment="1">
      <alignment horizontal="center" vertical="top"/>
    </xf>
    <xf numFmtId="170" fontId="41" fillId="0" borderId="0" xfId="2" applyNumberFormat="1" applyFont="1" applyFill="1" applyAlignment="1">
      <alignment horizontal="center" vertical="top"/>
    </xf>
    <xf numFmtId="0" fontId="41" fillId="0" borderId="0" xfId="0" applyFont="1" applyFill="1" applyAlignment="1">
      <alignment horizontal="center" vertical="top"/>
    </xf>
    <xf numFmtId="0" fontId="42" fillId="0" borderId="0" xfId="6" applyFont="1" applyFill="1" applyAlignment="1" applyProtection="1">
      <alignment vertical="top" wrapText="1" shrinkToFit="1"/>
    </xf>
    <xf numFmtId="0" fontId="40" fillId="0" borderId="0" xfId="0" applyFont="1" applyFill="1" applyAlignment="1">
      <alignment vertical="top"/>
    </xf>
    <xf numFmtId="0" fontId="43" fillId="0" borderId="0" xfId="0" applyFont="1" applyAlignment="1">
      <alignment horizontal="center" vertical="top"/>
    </xf>
    <xf numFmtId="0" fontId="43" fillId="0" borderId="0" xfId="0" applyFont="1" applyAlignment="1">
      <alignment horizontal="center" vertical="top" wrapText="1"/>
    </xf>
    <xf numFmtId="0" fontId="43" fillId="0" borderId="0" xfId="0" applyFont="1" applyAlignment="1">
      <alignment horizontal="center" vertical="top" wrapText="1" shrinkToFit="1"/>
    </xf>
    <xf numFmtId="0" fontId="43" fillId="0" borderId="0" xfId="0" applyFont="1" applyFill="1" applyAlignment="1">
      <alignment horizontal="center" vertical="top" wrapText="1" shrinkToFit="1"/>
    </xf>
    <xf numFmtId="0" fontId="43" fillId="0" borderId="0" xfId="0" applyFont="1" applyFill="1" applyAlignment="1">
      <alignment vertical="top"/>
    </xf>
    <xf numFmtId="0" fontId="39" fillId="0" borderId="0" xfId="0" applyFont="1" applyAlignment="1">
      <alignment vertical="top"/>
    </xf>
    <xf numFmtId="42" fontId="39" fillId="7" borderId="0" xfId="2" applyNumberFormat="1" applyFont="1" applyFill="1" applyAlignment="1">
      <alignment vertical="top"/>
    </xf>
    <xf numFmtId="0" fontId="40" fillId="0" borderId="0" xfId="0" applyFont="1" applyFill="1" applyAlignment="1">
      <alignment horizontal="left" vertical="top"/>
    </xf>
    <xf numFmtId="3" fontId="40" fillId="0" borderId="0" xfId="0" applyNumberFormat="1" applyFont="1" applyFill="1" applyAlignment="1">
      <alignment horizontal="center" vertical="top"/>
    </xf>
    <xf numFmtId="10" fontId="40" fillId="0" borderId="0" xfId="0" applyNumberFormat="1" applyFont="1" applyFill="1" applyAlignment="1">
      <alignment horizontal="right" vertical="top"/>
    </xf>
    <xf numFmtId="0" fontId="45" fillId="0" borderId="0" xfId="6" applyFont="1" applyFill="1" applyAlignment="1" applyProtection="1">
      <alignment vertical="top" wrapText="1" shrinkToFit="1"/>
    </xf>
    <xf numFmtId="0" fontId="40" fillId="0" borderId="0" xfId="0" applyFont="1" applyAlignment="1">
      <alignment vertical="top"/>
    </xf>
    <xf numFmtId="0" fontId="40" fillId="0" borderId="0" xfId="0" applyFont="1" applyFill="1" applyAlignment="1">
      <alignment horizontal="center" vertical="top"/>
    </xf>
    <xf numFmtId="0" fontId="40" fillId="0" borderId="0" xfId="0" applyFont="1" applyFill="1" applyAlignment="1">
      <alignment horizontal="left" vertical="top" wrapText="1" shrinkToFit="1"/>
    </xf>
    <xf numFmtId="0" fontId="43" fillId="0" borderId="0" xfId="0" applyFont="1" applyAlignment="1">
      <alignment vertical="top"/>
    </xf>
    <xf numFmtId="0" fontId="40" fillId="0" borderId="0" xfId="0" applyFont="1" applyAlignment="1">
      <alignment horizontal="center" vertical="top"/>
    </xf>
    <xf numFmtId="0" fontId="40" fillId="0" borderId="0" xfId="0" applyFont="1" applyAlignment="1">
      <alignment vertical="top" wrapText="1" shrinkToFit="1"/>
    </xf>
    <xf numFmtId="0" fontId="45" fillId="0" borderId="0" xfId="6" applyFont="1" applyAlignment="1" applyProtection="1">
      <alignment vertical="top" wrapText="1" shrinkToFit="1"/>
    </xf>
    <xf numFmtId="0" fontId="46" fillId="0" borderId="0" xfId="0" applyFont="1" applyFill="1" applyAlignment="1">
      <alignment horizontal="center" vertical="top"/>
    </xf>
    <xf numFmtId="0" fontId="38" fillId="0" borderId="0" xfId="0" applyFont="1" applyAlignment="1">
      <alignment vertical="top"/>
    </xf>
    <xf numFmtId="170" fontId="39" fillId="7" borderId="0" xfId="2" applyNumberFormat="1" applyFont="1" applyFill="1" applyAlignment="1">
      <alignment horizontal="center" vertical="top"/>
    </xf>
    <xf numFmtId="0" fontId="39" fillId="0" borderId="0" xfId="0" applyFont="1" applyAlignment="1">
      <alignment vertical="top" wrapText="1"/>
    </xf>
    <xf numFmtId="0" fontId="45" fillId="0" borderId="0" xfId="6" applyFont="1" applyAlignment="1" applyProtection="1">
      <alignment vertical="top"/>
    </xf>
    <xf numFmtId="0" fontId="42" fillId="0" borderId="0" xfId="6" applyFont="1" applyAlignment="1" applyProtection="1">
      <alignment vertical="top" wrapText="1" shrinkToFit="1"/>
    </xf>
    <xf numFmtId="0" fontId="39" fillId="0" borderId="0" xfId="0" applyFont="1" applyAlignment="1">
      <alignment horizontal="center" vertical="top"/>
    </xf>
    <xf numFmtId="44" fontId="40" fillId="0" borderId="0" xfId="0" applyNumberFormat="1" applyFont="1" applyAlignment="1">
      <alignment horizontal="center" vertical="top"/>
    </xf>
    <xf numFmtId="0" fontId="35" fillId="5" borderId="0" xfId="0" applyFont="1" applyFill="1" applyAlignment="1">
      <alignment horizontal="center" vertical="top"/>
    </xf>
    <xf numFmtId="10" fontId="36" fillId="5" borderId="0" xfId="0" applyNumberFormat="1" applyFont="1" applyFill="1" applyAlignment="1">
      <alignment horizontal="right" vertical="top"/>
    </xf>
    <xf numFmtId="0" fontId="35" fillId="0" borderId="0" xfId="0" applyFont="1" applyFill="1" applyAlignment="1">
      <alignment vertical="top"/>
    </xf>
    <xf numFmtId="0" fontId="36" fillId="0" borderId="0" xfId="0" applyFont="1" applyFill="1" applyAlignment="1">
      <alignment horizontal="center" vertical="top"/>
    </xf>
    <xf numFmtId="10" fontId="36" fillId="0" borderId="0" xfId="0" applyNumberFormat="1" applyFont="1" applyFill="1" applyAlignment="1">
      <alignment horizontal="right" vertical="top"/>
    </xf>
    <xf numFmtId="0" fontId="36" fillId="0" borderId="0" xfId="0" applyFont="1" applyFill="1" applyAlignment="1">
      <alignment vertical="top"/>
    </xf>
    <xf numFmtId="0" fontId="37" fillId="0" borderId="0" xfId="6" applyFont="1" applyFill="1" applyAlignment="1" applyProtection="1">
      <alignment vertical="top" wrapText="1" shrinkToFit="1"/>
    </xf>
    <xf numFmtId="0" fontId="43" fillId="0" borderId="0" xfId="0" applyFont="1" applyFill="1" applyBorder="1" applyAlignment="1">
      <alignment horizontal="right" vertical="top"/>
    </xf>
    <xf numFmtId="0" fontId="43" fillId="0" borderId="0" xfId="0" applyFont="1" applyBorder="1" applyAlignment="1">
      <alignment horizontal="center" vertical="top"/>
    </xf>
    <xf numFmtId="165" fontId="43" fillId="0" borderId="0" xfId="0" applyNumberFormat="1" applyFont="1" applyFill="1" applyBorder="1" applyAlignment="1">
      <alignment horizontal="center" vertical="top"/>
    </xf>
    <xf numFmtId="165" fontId="38" fillId="0" borderId="0" xfId="0" applyNumberFormat="1" applyFont="1" applyBorder="1" applyAlignment="1">
      <alignment horizontal="center" vertical="top"/>
    </xf>
    <xf numFmtId="0" fontId="45" fillId="0" borderId="0" xfId="6" applyFont="1" applyFill="1" applyBorder="1" applyAlignment="1" applyProtection="1">
      <alignment vertical="top" wrapText="1" shrinkToFit="1"/>
    </xf>
    <xf numFmtId="0" fontId="40" fillId="0" borderId="0" xfId="0" applyFont="1" applyFill="1" applyBorder="1" applyAlignment="1">
      <alignment vertical="top"/>
    </xf>
    <xf numFmtId="0" fontId="38" fillId="0" borderId="0" xfId="0" applyFont="1" applyBorder="1" applyAlignment="1">
      <alignment horizontal="center" vertical="top"/>
    </xf>
    <xf numFmtId="0" fontId="40" fillId="0" borderId="0" xfId="0" applyFont="1" applyFill="1" applyBorder="1" applyAlignment="1">
      <alignment vertical="top" wrapText="1"/>
    </xf>
    <xf numFmtId="0" fontId="39" fillId="0" borderId="0" xfId="0" applyFont="1" applyBorder="1" applyAlignment="1">
      <alignment horizontal="center" vertical="top"/>
    </xf>
    <xf numFmtId="42" fontId="39" fillId="7" borderId="0" xfId="2" applyNumberFormat="1" applyFont="1" applyFill="1" applyBorder="1" applyAlignment="1">
      <alignment vertical="top"/>
    </xf>
    <xf numFmtId="0" fontId="40" fillId="0" borderId="0" xfId="0" applyFont="1" applyAlignment="1">
      <alignment vertical="top" wrapText="1"/>
    </xf>
    <xf numFmtId="0" fontId="45" fillId="0" borderId="0" xfId="6" applyFont="1" applyBorder="1" applyAlignment="1" applyProtection="1">
      <alignment vertical="top" wrapText="1" shrinkToFit="1"/>
    </xf>
    <xf numFmtId="0" fontId="40" fillId="0" borderId="0" xfId="0" applyFont="1" applyFill="1" applyBorder="1" applyAlignment="1">
      <alignment horizontal="left" vertical="top"/>
    </xf>
    <xf numFmtId="0" fontId="40" fillId="0" borderId="0" xfId="0" applyFont="1" applyBorder="1" applyAlignment="1">
      <alignment horizontal="center" vertical="top"/>
    </xf>
    <xf numFmtId="0" fontId="40" fillId="0" borderId="0" xfId="0" applyFont="1" applyBorder="1" applyAlignment="1">
      <alignment vertical="top" wrapText="1" shrinkToFit="1"/>
    </xf>
    <xf numFmtId="0" fontId="43" fillId="0" borderId="0" xfId="0" applyFont="1" applyFill="1" applyBorder="1" applyAlignment="1">
      <alignment vertical="top"/>
    </xf>
    <xf numFmtId="0" fontId="39" fillId="0" borderId="0" xfId="0" applyFont="1" applyFill="1" applyBorder="1" applyAlignment="1">
      <alignment vertical="top"/>
    </xf>
    <xf numFmtId="0" fontId="40" fillId="0" borderId="0" xfId="0" applyFont="1" applyBorder="1" applyAlignment="1">
      <alignment vertical="top"/>
    </xf>
    <xf numFmtId="0" fontId="40" fillId="0" borderId="0" xfId="0" applyFont="1" applyBorder="1" applyAlignment="1">
      <alignment horizontal="left" vertical="top"/>
    </xf>
    <xf numFmtId="165" fontId="39" fillId="0" borderId="0" xfId="3" applyNumberFormat="1" applyFont="1" applyFill="1" applyBorder="1" applyAlignment="1">
      <alignment horizontal="right" vertical="top"/>
    </xf>
    <xf numFmtId="0" fontId="40" fillId="0" borderId="0" xfId="0" applyFont="1" applyAlignment="1">
      <alignment horizontal="left" vertical="top"/>
    </xf>
    <xf numFmtId="42" fontId="39" fillId="0" borderId="0" xfId="0" applyNumberFormat="1" applyFont="1" applyFill="1" applyAlignment="1">
      <alignment vertical="top"/>
    </xf>
    <xf numFmtId="42" fontId="38" fillId="7" borderId="0" xfId="0" applyNumberFormat="1" applyFont="1" applyFill="1" applyAlignment="1">
      <alignment vertical="top"/>
    </xf>
    <xf numFmtId="165" fontId="40" fillId="0" borderId="0" xfId="3" applyNumberFormat="1" applyFont="1" applyAlignment="1">
      <alignment vertical="top"/>
    </xf>
    <xf numFmtId="0" fontId="36" fillId="9" borderId="0" xfId="0" applyFont="1" applyFill="1" applyAlignment="1">
      <alignment vertical="top"/>
    </xf>
    <xf numFmtId="0" fontId="35" fillId="9" borderId="0" xfId="0" applyFont="1" applyFill="1" applyAlignment="1">
      <alignment vertical="top"/>
    </xf>
    <xf numFmtId="175" fontId="47" fillId="0" borderId="11" xfId="0" applyNumberFormat="1" applyFont="1" applyBorder="1" applyAlignment="1">
      <alignment vertical="top"/>
    </xf>
    <xf numFmtId="0" fontId="40" fillId="0" borderId="16" xfId="0" applyFont="1" applyBorder="1" applyAlignment="1">
      <alignment vertical="top"/>
    </xf>
    <xf numFmtId="170" fontId="40" fillId="8" borderId="3" xfId="0" applyNumberFormat="1" applyFont="1" applyFill="1" applyBorder="1" applyAlignment="1">
      <alignment vertical="top"/>
    </xf>
    <xf numFmtId="0" fontId="40" fillId="8" borderId="4" xfId="0" applyFont="1" applyFill="1" applyBorder="1" applyAlignment="1">
      <alignment horizontal="center" vertical="top"/>
    </xf>
    <xf numFmtId="175" fontId="47" fillId="0" borderId="17" xfId="0" applyNumberFormat="1" applyFont="1" applyBorder="1" applyAlignment="1">
      <alignment vertical="top"/>
    </xf>
    <xf numFmtId="170" fontId="40" fillId="8" borderId="18" xfId="0" applyNumberFormat="1" applyFont="1" applyFill="1" applyBorder="1" applyAlignment="1">
      <alignment vertical="top"/>
    </xf>
    <xf numFmtId="0" fontId="40" fillId="8" borderId="16" xfId="0" applyFont="1" applyFill="1" applyBorder="1" applyAlignment="1">
      <alignment horizontal="center" vertical="top"/>
    </xf>
    <xf numFmtId="0" fontId="40" fillId="0" borderId="13" xfId="0" applyFont="1" applyBorder="1" applyAlignment="1">
      <alignment horizontal="right" vertical="top" wrapText="1" shrinkToFit="1"/>
    </xf>
    <xf numFmtId="0" fontId="40" fillId="0" borderId="14" xfId="0" applyFont="1" applyBorder="1" applyAlignment="1">
      <alignment vertical="top"/>
    </xf>
    <xf numFmtId="0" fontId="39" fillId="0" borderId="15" xfId="0" applyFont="1" applyBorder="1"/>
    <xf numFmtId="175" fontId="47" fillId="0" borderId="12" xfId="0" quotePrefix="1" applyNumberFormat="1" applyFont="1" applyBorder="1" applyAlignment="1">
      <alignment horizontal="right" vertical="top"/>
    </xf>
    <xf numFmtId="0" fontId="48" fillId="0" borderId="0" xfId="0" applyFont="1" applyAlignment="1">
      <alignment vertical="top"/>
    </xf>
    <xf numFmtId="170" fontId="40" fillId="8" borderId="5" xfId="0" applyNumberFormat="1" applyFont="1" applyFill="1" applyBorder="1" applyAlignment="1">
      <alignment vertical="top"/>
    </xf>
    <xf numFmtId="0" fontId="40" fillId="8" borderId="6" xfId="0" applyFont="1" applyFill="1" applyBorder="1" applyAlignment="1">
      <alignment horizontal="center" vertical="top"/>
    </xf>
    <xf numFmtId="175" fontId="47" fillId="0" borderId="0" xfId="0" applyNumberFormat="1" applyFont="1" applyBorder="1" applyAlignment="1">
      <alignment vertical="top"/>
    </xf>
    <xf numFmtId="170" fontId="40" fillId="0" borderId="0" xfId="0" applyNumberFormat="1" applyFont="1" applyFill="1" applyBorder="1" applyAlignment="1">
      <alignment vertical="top"/>
    </xf>
    <xf numFmtId="0" fontId="40" fillId="0" borderId="0" xfId="0" applyFont="1" applyFill="1" applyBorder="1" applyAlignment="1">
      <alignment horizontal="center" vertical="top"/>
    </xf>
    <xf numFmtId="176" fontId="47" fillId="0" borderId="7" xfId="0" applyNumberFormat="1" applyFont="1" applyBorder="1" applyAlignment="1">
      <alignment vertical="top"/>
    </xf>
    <xf numFmtId="44" fontId="40" fillId="8" borderId="3" xfId="0" applyNumberFormat="1" applyFont="1" applyFill="1" applyBorder="1" applyAlignment="1">
      <alignment vertical="top"/>
    </xf>
    <xf numFmtId="176" fontId="47" fillId="0" borderId="8" xfId="0" applyNumberFormat="1" applyFont="1" applyBorder="1" applyAlignment="1">
      <alignment vertical="top"/>
    </xf>
    <xf numFmtId="44" fontId="40" fillId="8" borderId="18" xfId="2" applyFont="1" applyFill="1" applyBorder="1" applyAlignment="1">
      <alignment vertical="top"/>
    </xf>
    <xf numFmtId="176" fontId="47" fillId="0" borderId="9" xfId="0" applyNumberFormat="1" applyFont="1" applyBorder="1" applyAlignment="1">
      <alignment vertical="top"/>
    </xf>
    <xf numFmtId="44" fontId="40" fillId="8" borderId="5" xfId="2" applyFont="1" applyFill="1" applyBorder="1" applyAlignment="1">
      <alignment vertical="top"/>
    </xf>
    <xf numFmtId="0" fontId="38" fillId="0" borderId="0" xfId="0" applyFont="1" applyFill="1" applyAlignment="1">
      <alignment horizontal="center" vertical="top"/>
    </xf>
    <xf numFmtId="176" fontId="38" fillId="7" borderId="0" xfId="0" applyNumberFormat="1" applyFont="1" applyFill="1" applyBorder="1" applyAlignment="1">
      <alignment vertical="top"/>
    </xf>
    <xf numFmtId="44" fontId="40" fillId="8" borderId="3" xfId="2" applyFont="1" applyFill="1" applyBorder="1" applyAlignment="1">
      <alignment vertical="top"/>
    </xf>
    <xf numFmtId="0" fontId="47" fillId="0" borderId="0" xfId="0" applyFont="1" applyAlignment="1">
      <alignment vertical="center"/>
    </xf>
    <xf numFmtId="0" fontId="35" fillId="5" borderId="0" xfId="0" applyFont="1" applyFill="1" applyAlignment="1">
      <alignment horizontal="center" vertical="top" wrapText="1" shrinkToFit="1"/>
    </xf>
    <xf numFmtId="0" fontId="47" fillId="5" borderId="0" xfId="0" applyFont="1" applyFill="1" applyAlignment="1">
      <alignment horizontal="center" vertical="top"/>
    </xf>
    <xf numFmtId="0" fontId="40" fillId="0" borderId="0" xfId="0" applyFont="1"/>
    <xf numFmtId="0" fontId="36" fillId="0" borderId="0" xfId="0" applyFont="1"/>
    <xf numFmtId="0" fontId="40" fillId="0" borderId="0" xfId="0" applyFont="1" applyFill="1"/>
    <xf numFmtId="0" fontId="43" fillId="6" borderId="2" xfId="0" applyFont="1" applyFill="1" applyBorder="1" applyAlignment="1">
      <alignment horizontal="center" vertical="center" wrapText="1"/>
    </xf>
    <xf numFmtId="0" fontId="40" fillId="0" borderId="2" xfId="0" applyFont="1" applyBorder="1" applyAlignment="1">
      <alignment horizontal="center"/>
    </xf>
    <xf numFmtId="165" fontId="40" fillId="0" borderId="2" xfId="3" applyNumberFormat="1" applyFont="1" applyBorder="1"/>
    <xf numFmtId="4" fontId="40" fillId="7" borderId="2" xfId="11" applyNumberFormat="1" applyFont="1" applyFill="1" applyBorder="1" applyAlignment="1">
      <alignment horizontal="right" wrapText="1"/>
    </xf>
    <xf numFmtId="2" fontId="39" fillId="7" borderId="2" xfId="11" applyNumberFormat="1" applyFont="1" applyFill="1" applyBorder="1" applyAlignment="1">
      <alignment horizontal="right" wrapText="1"/>
    </xf>
    <xf numFmtId="2" fontId="39" fillId="7" borderId="2" xfId="0" applyNumberFormat="1" applyFont="1" applyFill="1" applyBorder="1"/>
    <xf numFmtId="10" fontId="0" fillId="0" borderId="0" xfId="0" applyNumberFormat="1"/>
    <xf numFmtId="0" fontId="38" fillId="0" borderId="2" xfId="0" applyFont="1" applyFill="1" applyBorder="1"/>
    <xf numFmtId="44" fontId="38" fillId="0" borderId="2" xfId="0" applyNumberFormat="1" applyFont="1" applyFill="1" applyBorder="1"/>
    <xf numFmtId="165" fontId="43" fillId="0" borderId="2" xfId="0" applyNumberFormat="1" applyFont="1" applyFill="1" applyBorder="1" applyAlignment="1">
      <alignment wrapText="1"/>
    </xf>
    <xf numFmtId="0" fontId="50" fillId="0" borderId="0" xfId="0" applyFont="1" applyFill="1" applyBorder="1"/>
    <xf numFmtId="0" fontId="51" fillId="0" borderId="0" xfId="0" applyFont="1"/>
    <xf numFmtId="0" fontId="35" fillId="9" borderId="0" xfId="0" applyFont="1" applyFill="1" applyAlignment="1">
      <alignment vertical="center"/>
    </xf>
    <xf numFmtId="0" fontId="35" fillId="9" borderId="0" xfId="0" applyFont="1" applyFill="1" applyAlignment="1">
      <alignment horizontal="center" vertical="top"/>
    </xf>
    <xf numFmtId="0" fontId="35" fillId="9" borderId="0" xfId="0" applyFont="1" applyFill="1" applyAlignment="1">
      <alignment horizontal="center" vertical="top" wrapText="1" shrinkToFit="1"/>
    </xf>
    <xf numFmtId="0" fontId="43" fillId="6" borderId="20" xfId="0" applyFont="1" applyFill="1" applyBorder="1" applyAlignment="1">
      <alignment horizontal="center" vertical="center" wrapText="1"/>
    </xf>
    <xf numFmtId="0" fontId="43" fillId="6" borderId="11" xfId="0" applyFont="1" applyFill="1" applyBorder="1" applyAlignment="1">
      <alignment horizontal="center" vertical="center" wrapText="1"/>
    </xf>
    <xf numFmtId="0" fontId="40" fillId="0" borderId="8" xfId="0" applyFont="1" applyBorder="1" applyAlignment="1">
      <alignment horizontal="center"/>
    </xf>
    <xf numFmtId="177" fontId="47" fillId="0" borderId="8" xfId="0" applyNumberFormat="1" applyFont="1" applyBorder="1"/>
    <xf numFmtId="0" fontId="40" fillId="0" borderId="0" xfId="0" applyFont="1" applyBorder="1" applyAlignment="1">
      <alignment horizontal="right"/>
    </xf>
    <xf numFmtId="167" fontId="52" fillId="0" borderId="2" xfId="0" applyNumberFormat="1" applyFont="1" applyBorder="1" applyAlignment="1">
      <alignment vertical="center"/>
    </xf>
    <xf numFmtId="0" fontId="40" fillId="0" borderId="9" xfId="0" applyFont="1" applyBorder="1" applyAlignment="1">
      <alignment horizontal="center"/>
    </xf>
    <xf numFmtId="177" fontId="47" fillId="0" borderId="9" xfId="0" applyNumberFormat="1" applyFont="1" applyBorder="1"/>
    <xf numFmtId="0" fontId="40" fillId="0" borderId="0" xfId="0" applyFont="1" applyBorder="1" applyAlignment="1">
      <alignment horizontal="center"/>
    </xf>
    <xf numFmtId="177" fontId="47" fillId="0" borderId="0" xfId="0" applyNumberFormat="1" applyFont="1" applyBorder="1"/>
    <xf numFmtId="165" fontId="40" fillId="0" borderId="0" xfId="3" applyNumberFormat="1" applyFont="1" applyBorder="1"/>
    <xf numFmtId="0" fontId="35" fillId="10" borderId="0" xfId="0" applyFont="1" applyFill="1" applyBorder="1" applyAlignment="1">
      <alignment wrapText="1"/>
    </xf>
    <xf numFmtId="0" fontId="36" fillId="10" borderId="0" xfId="0" applyFont="1" applyFill="1" applyBorder="1" applyAlignment="1">
      <alignment horizontal="center" vertical="center"/>
    </xf>
    <xf numFmtId="0" fontId="36" fillId="10" borderId="0" xfId="0" applyFont="1" applyFill="1" applyBorder="1" applyAlignment="1">
      <alignment horizontal="left" vertical="center"/>
    </xf>
    <xf numFmtId="0" fontId="36" fillId="10" borderId="0" xfId="0" applyFont="1" applyFill="1" applyBorder="1"/>
    <xf numFmtId="0" fontId="53" fillId="0" borderId="0" xfId="0" applyFont="1"/>
    <xf numFmtId="0" fontId="39" fillId="0" borderId="0" xfId="0" applyFont="1"/>
    <xf numFmtId="0" fontId="40" fillId="0" borderId="0" xfId="0" applyFont="1" applyAlignment="1">
      <alignment horizontal="left" vertical="top" wrapText="1"/>
    </xf>
    <xf numFmtId="0" fontId="40" fillId="0" borderId="0" xfId="0" applyFont="1" applyAlignment="1">
      <alignment vertical="center"/>
    </xf>
    <xf numFmtId="0" fontId="40" fillId="0" borderId="0" xfId="0" applyFont="1" applyAlignment="1">
      <alignment horizontal="center" vertical="center"/>
    </xf>
    <xf numFmtId="0" fontId="34" fillId="5" borderId="0" xfId="0" applyFont="1" applyFill="1" applyAlignment="1">
      <alignment vertical="center"/>
    </xf>
    <xf numFmtId="0" fontId="35" fillId="5" borderId="0" xfId="0" applyFont="1" applyFill="1" applyAlignment="1">
      <alignment vertical="center"/>
    </xf>
    <xf numFmtId="0" fontId="36" fillId="5" borderId="0" xfId="0" applyFont="1" applyFill="1" applyAlignment="1">
      <alignment horizontal="center" vertical="center"/>
    </xf>
    <xf numFmtId="0" fontId="36" fillId="5" borderId="0" xfId="0" applyFont="1" applyFill="1" applyAlignment="1">
      <alignment vertical="center"/>
    </xf>
    <xf numFmtId="0" fontId="38" fillId="0" borderId="0" xfId="0" applyFont="1" applyAlignment="1">
      <alignment horizontal="left" vertical="center"/>
    </xf>
    <xf numFmtId="0" fontId="40" fillId="0" borderId="0" xfId="0" applyFont="1" applyFill="1" applyAlignment="1">
      <alignment vertical="center"/>
    </xf>
    <xf numFmtId="0" fontId="38" fillId="0" borderId="2" xfId="0" applyFont="1" applyFill="1" applyBorder="1" applyAlignment="1">
      <alignment horizontal="right" vertical="center"/>
    </xf>
    <xf numFmtId="0" fontId="38" fillId="0" borderId="2" xfId="0" applyFont="1" applyFill="1" applyBorder="1" applyAlignment="1">
      <alignment horizontal="center" vertical="center" wrapText="1"/>
    </xf>
    <xf numFmtId="0" fontId="39" fillId="0" borderId="2" xfId="0" applyFont="1" applyFill="1" applyBorder="1" applyAlignment="1">
      <alignment horizontal="right" vertical="center"/>
    </xf>
    <xf numFmtId="0" fontId="39" fillId="0" borderId="2" xfId="0" applyFont="1" applyFill="1" applyBorder="1" applyAlignment="1">
      <alignment horizontal="center" vertical="center" wrapText="1"/>
    </xf>
    <xf numFmtId="0" fontId="39" fillId="0" borderId="2" xfId="0" applyFont="1" applyBorder="1" applyAlignment="1" applyProtection="1">
      <alignment horizontal="left" vertical="center"/>
      <protection hidden="1"/>
    </xf>
    <xf numFmtId="178" fontId="39" fillId="7" borderId="2" xfId="2" applyNumberFormat="1" applyFont="1" applyFill="1" applyBorder="1" applyAlignment="1">
      <alignment horizontal="right" vertical="center"/>
    </xf>
    <xf numFmtId="42" fontId="39" fillId="7" borderId="2" xfId="2" applyNumberFormat="1" applyFont="1" applyFill="1" applyBorder="1" applyAlignment="1">
      <alignment horizontal="right" vertical="center"/>
    </xf>
    <xf numFmtId="179" fontId="39" fillId="7" borderId="2" xfId="2" applyNumberFormat="1" applyFont="1" applyFill="1" applyBorder="1" applyAlignment="1">
      <alignment horizontal="right" vertical="center"/>
    </xf>
    <xf numFmtId="0" fontId="39" fillId="0" borderId="0" xfId="0" applyFont="1" applyAlignment="1">
      <alignment vertical="center"/>
    </xf>
    <xf numFmtId="44" fontId="39" fillId="0" borderId="2" xfId="2" applyFont="1" applyBorder="1" applyAlignment="1">
      <alignment horizontal="center" vertical="center" wrapText="1" shrinkToFit="1"/>
    </xf>
    <xf numFmtId="44" fontId="39" fillId="0" borderId="2" xfId="2" applyFont="1" applyBorder="1" applyAlignment="1">
      <alignment horizontal="right" vertical="center" wrapText="1" shrinkToFit="1"/>
    </xf>
    <xf numFmtId="0" fontId="45" fillId="0" borderId="0" xfId="6" applyFont="1" applyFill="1" applyBorder="1" applyAlignment="1" applyProtection="1">
      <alignment horizontal="left" vertical="center"/>
      <protection hidden="1"/>
    </xf>
    <xf numFmtId="0" fontId="39" fillId="0" borderId="2" xfId="0" applyFont="1" applyFill="1" applyBorder="1" applyAlignment="1" applyProtection="1">
      <alignment horizontal="left" vertical="center"/>
      <protection hidden="1"/>
    </xf>
    <xf numFmtId="0" fontId="39" fillId="0" borderId="2" xfId="0" applyFont="1" applyBorder="1" applyAlignment="1">
      <alignment horizontal="right" vertical="center" wrapText="1"/>
    </xf>
    <xf numFmtId="0" fontId="20" fillId="0" borderId="0" xfId="6" applyFill="1" applyBorder="1" applyAlignment="1" applyProtection="1">
      <alignment horizontal="left" vertical="center"/>
      <protection hidden="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0" fontId="35" fillId="5" borderId="0" xfId="0" applyFont="1" applyFill="1"/>
    <xf numFmtId="0" fontId="36" fillId="5" borderId="0" xfId="0" applyFont="1" applyFill="1"/>
    <xf numFmtId="0" fontId="43" fillId="0" borderId="0" xfId="0" applyFont="1" applyAlignment="1">
      <alignment horizontal="center"/>
    </xf>
    <xf numFmtId="0" fontId="39" fillId="0" borderId="2" xfId="0" applyFont="1" applyBorder="1" applyAlignment="1">
      <alignment horizontal="center" vertical="center" wrapText="1"/>
    </xf>
    <xf numFmtId="167" fontId="55" fillId="0" borderId="2" xfId="0" applyNumberFormat="1" applyFont="1" applyFill="1" applyBorder="1" applyAlignment="1">
      <alignment horizontal="right" vertical="center" wrapText="1"/>
    </xf>
    <xf numFmtId="0" fontId="39" fillId="0" borderId="0" xfId="0" applyFont="1" applyBorder="1"/>
    <xf numFmtId="0" fontId="40" fillId="0" borderId="0" xfId="0" applyFont="1" applyBorder="1"/>
    <xf numFmtId="167" fontId="55" fillId="0" borderId="0" xfId="0" applyNumberFormat="1" applyFont="1" applyFill="1" applyBorder="1" applyAlignment="1">
      <alignment horizontal="right" vertical="center" wrapText="1"/>
    </xf>
    <xf numFmtId="0" fontId="47" fillId="0" borderId="0" xfId="0" applyFont="1" applyBorder="1" applyAlignment="1">
      <alignment horizontal="right"/>
    </xf>
    <xf numFmtId="0" fontId="52" fillId="0" borderId="2" xfId="0" applyFont="1" applyFill="1" applyBorder="1" applyAlignment="1">
      <alignment horizontal="center" vertical="center" wrapText="1"/>
    </xf>
    <xf numFmtId="167" fontId="52" fillId="0" borderId="2" xfId="0" applyNumberFormat="1" applyFont="1" applyFill="1" applyBorder="1" applyAlignment="1">
      <alignment horizontal="right" vertical="center" wrapText="1"/>
    </xf>
    <xf numFmtId="0" fontId="47" fillId="0" borderId="0" xfId="0" applyFont="1" applyBorder="1"/>
    <xf numFmtId="0" fontId="36" fillId="9" borderId="0" xfId="0" applyFont="1" applyFill="1"/>
    <xf numFmtId="0" fontId="39" fillId="0" borderId="11" xfId="0" applyFont="1" applyFill="1" applyBorder="1" applyAlignment="1">
      <alignment horizontal="center" vertical="center" wrapText="1"/>
    </xf>
    <xf numFmtId="0" fontId="39" fillId="0" borderId="13" xfId="0" applyFont="1" applyBorder="1" applyAlignment="1" applyProtection="1">
      <alignment horizontal="left" vertical="center"/>
      <protection hidden="1"/>
    </xf>
    <xf numFmtId="180" fontId="47" fillId="0" borderId="7" xfId="2" applyNumberFormat="1" applyFont="1" applyBorder="1" applyAlignment="1">
      <alignment horizontal="right" vertical="center"/>
    </xf>
    <xf numFmtId="170" fontId="47" fillId="0" borderId="7" xfId="2" applyNumberFormat="1" applyFont="1" applyBorder="1" applyAlignment="1">
      <alignment horizontal="right" vertical="center"/>
    </xf>
    <xf numFmtId="177" fontId="47" fillId="0" borderId="22" xfId="2" applyNumberFormat="1" applyFont="1" applyBorder="1" applyAlignment="1">
      <alignment horizontal="right" vertical="center"/>
    </xf>
    <xf numFmtId="180" fontId="47" fillId="0" borderId="8" xfId="2" applyNumberFormat="1" applyFont="1" applyBorder="1" applyAlignment="1">
      <alignment horizontal="right" vertical="center"/>
    </xf>
    <xf numFmtId="170" fontId="47" fillId="0" borderId="8" xfId="2" applyNumberFormat="1" applyFont="1" applyBorder="1" applyAlignment="1">
      <alignment horizontal="right" vertical="center"/>
    </xf>
    <xf numFmtId="177" fontId="47" fillId="0" borderId="24" xfId="2" applyNumberFormat="1" applyFont="1" applyBorder="1" applyAlignment="1">
      <alignment horizontal="right" vertical="center"/>
    </xf>
    <xf numFmtId="180" fontId="47" fillId="0" borderId="9" xfId="2" applyNumberFormat="1" applyFont="1" applyBorder="1" applyAlignment="1">
      <alignment horizontal="right" vertical="center"/>
    </xf>
    <xf numFmtId="170" fontId="47" fillId="0" borderId="9" xfId="2" applyNumberFormat="1" applyFont="1" applyBorder="1" applyAlignment="1">
      <alignment horizontal="right" vertical="center"/>
    </xf>
    <xf numFmtId="177" fontId="47" fillId="0" borderId="26" xfId="2" applyNumberFormat="1" applyFont="1" applyBorder="1" applyAlignment="1">
      <alignment horizontal="right" vertical="center"/>
    </xf>
    <xf numFmtId="0" fontId="52" fillId="0" borderId="0" xfId="0" applyFont="1" applyAlignment="1">
      <alignment vertical="center"/>
    </xf>
    <xf numFmtId="0" fontId="40" fillId="0" borderId="0" xfId="0" applyFont="1" applyBorder="1" applyAlignment="1">
      <alignment vertical="center"/>
    </xf>
    <xf numFmtId="0" fontId="45" fillId="0" borderId="0" xfId="6" applyFont="1" applyBorder="1" applyAlignment="1" applyProtection="1">
      <alignment horizontal="left" vertical="center"/>
    </xf>
    <xf numFmtId="0" fontId="40" fillId="0" borderId="0" xfId="0" applyFont="1" applyBorder="1" applyAlignment="1">
      <alignment horizontal="left" vertical="center"/>
    </xf>
    <xf numFmtId="0" fontId="43" fillId="0" borderId="2" xfId="0" applyFont="1" applyBorder="1" applyAlignment="1">
      <alignment horizontal="center" vertical="top" wrapText="1"/>
    </xf>
    <xf numFmtId="0" fontId="43" fillId="0" borderId="0" xfId="0" applyFont="1" applyBorder="1" applyAlignment="1">
      <alignment horizontal="right" vertical="top"/>
    </xf>
    <xf numFmtId="0" fontId="40" fillId="0" borderId="0" xfId="0" applyFont="1" applyBorder="1" applyAlignment="1">
      <alignment horizontal="right" vertical="top"/>
    </xf>
    <xf numFmtId="4" fontId="57" fillId="0" borderId="2" xfId="0" applyNumberFormat="1" applyFont="1" applyFill="1" applyBorder="1" applyAlignment="1">
      <alignment horizontal="right" vertical="top" wrapText="1"/>
    </xf>
    <xf numFmtId="0" fontId="58" fillId="0" borderId="0" xfId="0" applyFont="1"/>
    <xf numFmtId="0" fontId="36" fillId="13" borderId="2" xfId="0" applyFont="1" applyFill="1" applyBorder="1" applyAlignment="1">
      <alignment horizontal="center" vertical="center"/>
    </xf>
    <xf numFmtId="1" fontId="39" fillId="7" borderId="2" xfId="0" applyNumberFormat="1" applyFont="1" applyFill="1" applyBorder="1" applyAlignment="1">
      <alignment horizontal="center" vertical="top"/>
    </xf>
    <xf numFmtId="10" fontId="36" fillId="13" borderId="2" xfId="0" applyNumberFormat="1" applyFont="1" applyFill="1" applyBorder="1" applyAlignment="1">
      <alignment horizontal="center" vertical="top"/>
    </xf>
    <xf numFmtId="0" fontId="7" fillId="0" borderId="0" xfId="0" applyFont="1"/>
    <xf numFmtId="4" fontId="59" fillId="0" borderId="2" xfId="0" applyNumberFormat="1" applyFont="1" applyFill="1" applyBorder="1" applyAlignment="1">
      <alignment horizontal="right" vertical="top" wrapText="1"/>
    </xf>
    <xf numFmtId="42" fontId="40" fillId="0" borderId="2" xfId="0" applyNumberFormat="1" applyFont="1" applyFill="1" applyBorder="1" applyAlignment="1">
      <alignment horizontal="center" vertical="top"/>
    </xf>
    <xf numFmtId="164" fontId="58" fillId="0" borderId="0" xfId="0" applyNumberFormat="1" applyFont="1"/>
    <xf numFmtId="0" fontId="36" fillId="13" borderId="2" xfId="0" applyFont="1" applyFill="1" applyBorder="1" applyAlignment="1">
      <alignment horizontal="center" vertical="top"/>
    </xf>
    <xf numFmtId="164" fontId="40" fillId="0" borderId="2" xfId="0" applyNumberFormat="1" applyFont="1" applyFill="1" applyBorder="1" applyAlignment="1">
      <alignment horizontal="center" vertical="top"/>
    </xf>
    <xf numFmtId="3" fontId="40" fillId="0" borderId="0" xfId="0" applyNumberFormat="1" applyFont="1" applyBorder="1" applyAlignment="1">
      <alignment horizontal="right" vertical="top"/>
    </xf>
    <xf numFmtId="42" fontId="40" fillId="7" borderId="2" xfId="0" applyNumberFormat="1" applyFont="1" applyFill="1" applyBorder="1" applyAlignment="1">
      <alignment horizontal="center" vertical="top"/>
    </xf>
    <xf numFmtId="42" fontId="43" fillId="0" borderId="2" xfId="0" applyNumberFormat="1" applyFont="1" applyBorder="1" applyAlignment="1">
      <alignment horizontal="center" vertical="center"/>
    </xf>
    <xf numFmtId="0" fontId="40" fillId="0" borderId="0" xfId="0" applyFont="1" applyBorder="1" applyAlignment="1">
      <alignment horizontal="right" vertical="center"/>
    </xf>
    <xf numFmtId="0" fontId="43" fillId="0" borderId="0" xfId="0" applyFont="1" applyAlignment="1">
      <alignment horizontal="center" vertical="center"/>
    </xf>
    <xf numFmtId="181" fontId="40" fillId="0" borderId="2" xfId="0" applyNumberFormat="1" applyFont="1" applyBorder="1" applyAlignment="1">
      <alignment horizontal="center" vertical="center"/>
    </xf>
    <xf numFmtId="181" fontId="40" fillId="0" borderId="11" xfId="0" applyNumberFormat="1" applyFont="1" applyBorder="1" applyAlignment="1">
      <alignment horizontal="center" vertical="center"/>
    </xf>
    <xf numFmtId="3" fontId="60" fillId="13" borderId="2" xfId="0" applyNumberFormat="1" applyFont="1" applyFill="1" applyBorder="1" applyAlignment="1">
      <alignment horizontal="center" vertical="top" wrapText="1"/>
    </xf>
    <xf numFmtId="181" fontId="40" fillId="0" borderId="20" xfId="0" applyNumberFormat="1" applyFont="1" applyBorder="1" applyAlignment="1">
      <alignment horizontal="center" vertical="center"/>
    </xf>
    <xf numFmtId="3" fontId="60" fillId="13" borderId="0" xfId="0" applyNumberFormat="1" applyFont="1" applyFill="1" applyBorder="1" applyAlignment="1">
      <alignment horizontal="center" vertical="top" wrapText="1"/>
    </xf>
    <xf numFmtId="0" fontId="40" fillId="11" borderId="0" xfId="0" applyFont="1" applyFill="1" applyAlignment="1">
      <alignment vertical="center"/>
    </xf>
    <xf numFmtId="0" fontId="43" fillId="11" borderId="0" xfId="0" applyFont="1" applyFill="1" applyBorder="1" applyAlignment="1">
      <alignment horizontal="right" vertical="top"/>
    </xf>
    <xf numFmtId="181" fontId="47" fillId="0" borderId="10" xfId="0" applyNumberFormat="1" applyFont="1" applyFill="1" applyBorder="1" applyAlignment="1">
      <alignment horizontal="center" vertical="center"/>
    </xf>
    <xf numFmtId="0" fontId="43" fillId="0" borderId="0" xfId="0" applyFont="1" applyAlignment="1">
      <alignment vertical="center"/>
    </xf>
    <xf numFmtId="0" fontId="20" fillId="0" borderId="0" xfId="6" applyAlignment="1" applyProtection="1">
      <alignment vertical="center"/>
    </xf>
    <xf numFmtId="0" fontId="43" fillId="0" borderId="0" xfId="0" applyFont="1" applyAlignment="1">
      <alignment horizontal="right" vertical="center"/>
    </xf>
    <xf numFmtId="0" fontId="43" fillId="0" borderId="2" xfId="0" applyFont="1" applyBorder="1" applyAlignment="1">
      <alignment horizontal="center" vertical="center"/>
    </xf>
    <xf numFmtId="0" fontId="43" fillId="0" borderId="2" xfId="0" applyFont="1" applyBorder="1" applyAlignment="1">
      <alignment horizontal="center" vertical="center" wrapText="1"/>
    </xf>
    <xf numFmtId="0" fontId="43" fillId="0" borderId="0" xfId="0" applyFont="1" applyAlignment="1">
      <alignment horizontal="left" vertical="center"/>
    </xf>
    <xf numFmtId="0" fontId="40" fillId="0" borderId="0" xfId="0" applyFont="1" applyAlignment="1">
      <alignment horizontal="right" vertical="center"/>
    </xf>
    <xf numFmtId="181" fontId="40" fillId="7" borderId="2" xfId="0" applyNumberFormat="1" applyFont="1" applyFill="1" applyBorder="1" applyAlignment="1">
      <alignment horizontal="center" vertical="center"/>
    </xf>
    <xf numFmtId="0" fontId="58" fillId="0" borderId="0" xfId="0" applyFont="1" applyFill="1" applyAlignment="1">
      <alignment vertical="center"/>
    </xf>
    <xf numFmtId="8" fontId="40" fillId="0" borderId="0" xfId="0" applyNumberFormat="1" applyFont="1" applyAlignment="1">
      <alignment horizontal="center" vertical="center"/>
    </xf>
    <xf numFmtId="0" fontId="58" fillId="0" borderId="0" xfId="0" applyFont="1" applyFill="1" applyAlignment="1">
      <alignment horizontal="center" vertical="center"/>
    </xf>
    <xf numFmtId="0" fontId="36" fillId="0" borderId="0" xfId="0" applyFont="1" applyAlignment="1">
      <alignment horizontal="center" vertical="center"/>
    </xf>
    <xf numFmtId="0" fontId="58" fillId="0" borderId="0" xfId="0" applyFont="1" applyFill="1" applyAlignment="1">
      <alignment horizontal="right" vertical="center"/>
    </xf>
    <xf numFmtId="181" fontId="38" fillId="0" borderId="2" xfId="0" applyNumberFormat="1" applyFont="1" applyBorder="1" applyAlignment="1">
      <alignment horizontal="center" vertical="center"/>
    </xf>
    <xf numFmtId="0" fontId="40" fillId="0" borderId="0" xfId="0" applyFont="1" applyAlignment="1">
      <alignment horizontal="left" vertical="center"/>
    </xf>
    <xf numFmtId="0" fontId="34" fillId="5" borderId="0" xfId="0" applyFont="1" applyFill="1" applyBorder="1" applyAlignment="1">
      <alignment vertical="top"/>
    </xf>
    <xf numFmtId="0" fontId="35" fillId="5" borderId="0" xfId="0" applyFont="1" applyFill="1" applyBorder="1" applyAlignment="1">
      <alignment vertical="top"/>
    </xf>
    <xf numFmtId="0" fontId="36" fillId="5" borderId="0" xfId="0" applyFont="1" applyFill="1" applyBorder="1" applyAlignment="1">
      <alignment horizontal="center" vertical="top"/>
    </xf>
    <xf numFmtId="0" fontId="36" fillId="5" borderId="0" xfId="0" applyFont="1" applyFill="1" applyBorder="1" applyAlignment="1">
      <alignment horizontal="left" vertical="top"/>
    </xf>
    <xf numFmtId="0" fontId="36" fillId="5" borderId="0" xfId="0" applyFont="1" applyFill="1" applyBorder="1" applyAlignment="1">
      <alignment vertical="top" wrapText="1" shrinkToFit="1"/>
    </xf>
    <xf numFmtId="0" fontId="36" fillId="5" borderId="0" xfId="0" applyFont="1" applyFill="1" applyBorder="1" applyAlignment="1">
      <alignment vertical="top"/>
    </xf>
    <xf numFmtId="0" fontId="40" fillId="0" borderId="0" xfId="0" applyFont="1" applyFill="1" applyBorder="1" applyAlignment="1">
      <alignment vertical="top" wrapText="1" shrinkToFit="1"/>
    </xf>
    <xf numFmtId="0" fontId="63" fillId="0" borderId="30" xfId="0" applyFont="1" applyFill="1" applyBorder="1" applyAlignment="1">
      <alignment vertical="top" wrapText="1"/>
    </xf>
    <xf numFmtId="0" fontId="62" fillId="0" borderId="30" xfId="0" applyFont="1" applyFill="1" applyBorder="1" applyAlignment="1">
      <alignment horizontal="center" vertical="top" wrapText="1"/>
    </xf>
    <xf numFmtId="0" fontId="43" fillId="0" borderId="0" xfId="0" applyFont="1" applyBorder="1" applyAlignment="1">
      <alignment vertical="top"/>
    </xf>
    <xf numFmtId="0" fontId="63" fillId="0" borderId="30" xfId="0" applyFont="1" applyBorder="1" applyAlignment="1">
      <alignment vertical="top" wrapText="1"/>
    </xf>
    <xf numFmtId="2" fontId="63" fillId="7" borderId="30" xfId="0" applyNumberFormat="1" applyFont="1" applyFill="1" applyBorder="1" applyAlignment="1">
      <alignment horizontal="center" vertical="top" wrapText="1"/>
    </xf>
    <xf numFmtId="0" fontId="62" fillId="0" borderId="30" xfId="0" applyFont="1" applyBorder="1" applyAlignment="1">
      <alignment vertical="top" wrapText="1"/>
    </xf>
    <xf numFmtId="2" fontId="62" fillId="7" borderId="30" xfId="0" applyNumberFormat="1" applyFont="1" applyFill="1" applyBorder="1" applyAlignment="1">
      <alignment horizontal="center" vertical="top" wrapText="1"/>
    </xf>
    <xf numFmtId="0" fontId="63" fillId="0" borderId="30" xfId="0" applyFont="1" applyFill="1" applyBorder="1" applyAlignment="1">
      <alignment horizontal="center" wrapText="1"/>
    </xf>
    <xf numFmtId="0" fontId="62" fillId="0" borderId="30" xfId="0" applyFont="1" applyFill="1" applyBorder="1" applyAlignment="1">
      <alignment horizontal="center" wrapText="1"/>
    </xf>
    <xf numFmtId="0" fontId="64" fillId="0" borderId="0" xfId="6" applyFont="1" applyBorder="1" applyAlignment="1" applyProtection="1">
      <alignment horizontal="left" vertical="top"/>
    </xf>
    <xf numFmtId="0" fontId="40" fillId="0" borderId="0" xfId="0" applyFont="1" applyBorder="1" applyAlignment="1">
      <alignment vertical="top" shrinkToFit="1"/>
    </xf>
    <xf numFmtId="0" fontId="40" fillId="0" borderId="0" xfId="0" applyFont="1" applyFill="1" applyBorder="1" applyAlignment="1">
      <alignment vertical="top" shrinkToFit="1"/>
    </xf>
    <xf numFmtId="0" fontId="43" fillId="0" borderId="2" xfId="0" applyFont="1" applyFill="1" applyBorder="1" applyAlignment="1">
      <alignment horizontal="center" vertical="top" wrapText="1"/>
    </xf>
    <xf numFmtId="0" fontId="40" fillId="0" borderId="31" xfId="0" applyFont="1" applyBorder="1" applyAlignment="1">
      <alignment vertical="top" wrapText="1"/>
    </xf>
    <xf numFmtId="3" fontId="40" fillId="7" borderId="31" xfId="0" applyNumberFormat="1" applyFont="1" applyFill="1" applyBorder="1" applyAlignment="1">
      <alignment horizontal="right" vertical="top" wrapText="1"/>
    </xf>
    <xf numFmtId="3" fontId="40" fillId="7" borderId="33" xfId="0" applyNumberFormat="1" applyFont="1" applyFill="1" applyBorder="1" applyAlignment="1">
      <alignment horizontal="right" vertical="top" wrapText="1"/>
    </xf>
    <xf numFmtId="165" fontId="39" fillId="0" borderId="12" xfId="3" applyNumberFormat="1" applyFont="1" applyBorder="1" applyAlignment="1">
      <alignment horizontal="right" vertical="top"/>
    </xf>
    <xf numFmtId="0" fontId="40" fillId="0" borderId="30" xfId="0" applyFont="1" applyBorder="1" applyAlignment="1">
      <alignment vertical="top" wrapText="1"/>
    </xf>
    <xf numFmtId="3" fontId="40" fillId="7" borderId="30" xfId="0" applyNumberFormat="1" applyFont="1" applyFill="1" applyBorder="1" applyAlignment="1">
      <alignment horizontal="right" vertical="top" wrapText="1"/>
    </xf>
    <xf numFmtId="3" fontId="40" fillId="7" borderId="27" xfId="0" applyNumberFormat="1" applyFont="1" applyFill="1" applyBorder="1" applyAlignment="1">
      <alignment horizontal="right" vertical="top" wrapText="1"/>
    </xf>
    <xf numFmtId="165" fontId="39" fillId="0" borderId="2" xfId="3" applyNumberFormat="1" applyFont="1" applyBorder="1" applyAlignment="1">
      <alignment horizontal="right" vertical="top"/>
    </xf>
    <xf numFmtId="0" fontId="43" fillId="0" borderId="30" xfId="0" applyFont="1" applyBorder="1" applyAlignment="1">
      <alignment vertical="top" wrapText="1"/>
    </xf>
    <xf numFmtId="3" fontId="43" fillId="0" borderId="30" xfId="0" applyNumberFormat="1" applyFont="1" applyBorder="1" applyAlignment="1">
      <alignment horizontal="right" vertical="top" wrapText="1"/>
    </xf>
    <xf numFmtId="165" fontId="43" fillId="0" borderId="2" xfId="3" applyNumberFormat="1" applyFont="1" applyBorder="1" applyAlignment="1">
      <alignment horizontal="right" vertical="top"/>
    </xf>
    <xf numFmtId="0" fontId="43" fillId="0" borderId="0" xfId="0" applyFont="1" applyBorder="1" applyAlignment="1">
      <alignment horizontal="left" vertical="top"/>
    </xf>
    <xf numFmtId="0" fontId="43" fillId="0" borderId="0" xfId="0" applyFont="1" applyBorder="1" applyAlignment="1">
      <alignment vertical="top" wrapText="1"/>
    </xf>
    <xf numFmtId="0" fontId="43" fillId="0" borderId="2" xfId="0" applyFont="1" applyBorder="1" applyAlignment="1">
      <alignment horizontal="center" wrapText="1"/>
    </xf>
    <xf numFmtId="0" fontId="40" fillId="0" borderId="2" xfId="0" applyFont="1" applyBorder="1" applyAlignment="1">
      <alignment horizontal="left" vertical="top" shrinkToFit="1"/>
    </xf>
    <xf numFmtId="2" fontId="40" fillId="7" borderId="2" xfId="0" applyNumberFormat="1" applyFont="1" applyFill="1" applyBorder="1" applyAlignment="1">
      <alignment horizontal="center" vertical="center" wrapText="1"/>
    </xf>
    <xf numFmtId="174" fontId="40" fillId="0" borderId="0" xfId="0" applyNumberFormat="1" applyFont="1" applyFill="1" applyBorder="1" applyAlignment="1">
      <alignment horizontal="center" vertical="top" wrapText="1"/>
    </xf>
    <xf numFmtId="0" fontId="35" fillId="9" borderId="0" xfId="0" applyFont="1" applyFill="1" applyBorder="1" applyAlignment="1">
      <alignment vertical="top"/>
    </xf>
    <xf numFmtId="0" fontId="36" fillId="9" borderId="0" xfId="0" applyFont="1" applyFill="1" applyBorder="1" applyAlignment="1">
      <alignment horizontal="center" vertical="top"/>
    </xf>
    <xf numFmtId="0" fontId="36" fillId="9" borderId="0" xfId="0" applyFont="1" applyFill="1" applyBorder="1" applyAlignment="1">
      <alignment horizontal="left" vertical="top"/>
    </xf>
    <xf numFmtId="0" fontId="36" fillId="9" borderId="0" xfId="0" applyFont="1" applyFill="1" applyBorder="1" applyAlignment="1">
      <alignment vertical="top" wrapText="1" shrinkToFit="1"/>
    </xf>
    <xf numFmtId="0" fontId="36" fillId="9" borderId="0" xfId="0" applyFont="1" applyFill="1" applyBorder="1" applyAlignment="1">
      <alignment vertical="top"/>
    </xf>
    <xf numFmtId="0" fontId="43" fillId="0" borderId="0" xfId="0" applyFont="1" applyFill="1" applyAlignment="1">
      <alignment horizontal="center" vertical="top"/>
    </xf>
    <xf numFmtId="177" fontId="47" fillId="0" borderId="7" xfId="2" applyNumberFormat="1" applyFont="1" applyBorder="1" applyAlignment="1">
      <alignment horizontal="center" vertical="top"/>
    </xf>
    <xf numFmtId="177" fontId="40" fillId="0" borderId="0" xfId="2" applyNumberFormat="1" applyFont="1" applyBorder="1" applyAlignment="1">
      <alignment horizontal="center" vertical="top"/>
    </xf>
    <xf numFmtId="0" fontId="52" fillId="0" borderId="0" xfId="0" applyFont="1" applyBorder="1" applyAlignment="1">
      <alignment horizontal="center" vertical="top"/>
    </xf>
    <xf numFmtId="177" fontId="47" fillId="0" borderId="8" xfId="2" applyNumberFormat="1" applyFont="1" applyBorder="1" applyAlignment="1">
      <alignment horizontal="center" vertical="top"/>
    </xf>
    <xf numFmtId="0" fontId="47" fillId="0" borderId="8" xfId="0" applyFont="1" applyBorder="1" applyAlignment="1">
      <alignment horizontal="center" vertical="top"/>
    </xf>
    <xf numFmtId="167" fontId="52" fillId="0" borderId="2" xfId="0" applyNumberFormat="1" applyFont="1" applyBorder="1" applyAlignment="1">
      <alignment horizontal="right" vertical="center"/>
    </xf>
    <xf numFmtId="177" fontId="47" fillId="0" borderId="9" xfId="2" applyNumberFormat="1" applyFont="1" applyBorder="1" applyAlignment="1">
      <alignment horizontal="center" vertical="top"/>
    </xf>
    <xf numFmtId="0" fontId="39" fillId="0" borderId="0" xfId="0" applyFont="1" applyBorder="1" applyAlignment="1">
      <alignment vertical="top"/>
    </xf>
    <xf numFmtId="0" fontId="39" fillId="0" borderId="0" xfId="0" applyFont="1" applyBorder="1" applyAlignment="1">
      <alignment horizontal="left" vertical="top"/>
    </xf>
    <xf numFmtId="0" fontId="39" fillId="0" borderId="0" xfId="0" applyFont="1" applyBorder="1" applyAlignment="1">
      <alignment vertical="top" wrapText="1" shrinkToFit="1"/>
    </xf>
    <xf numFmtId="0" fontId="38" fillId="0" borderId="0" xfId="0" applyFont="1" applyBorder="1" applyAlignment="1">
      <alignment vertical="top"/>
    </xf>
    <xf numFmtId="0" fontId="47" fillId="0" borderId="0" xfId="0" applyFont="1" applyBorder="1" applyAlignment="1">
      <alignment vertical="top"/>
    </xf>
    <xf numFmtId="0" fontId="35" fillId="5" borderId="0" xfId="0" applyFont="1" applyFill="1" applyAlignment="1">
      <alignment horizontal="left" vertical="top" wrapText="1"/>
    </xf>
    <xf numFmtId="0" fontId="35" fillId="5" borderId="0" xfId="0" applyFont="1" applyFill="1" applyAlignment="1">
      <alignment vertical="top" wrapText="1"/>
    </xf>
    <xf numFmtId="0" fontId="13" fillId="5" borderId="0" xfId="0"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21" fillId="0" borderId="0" xfId="6" applyFont="1" applyAlignment="1" applyProtection="1">
      <alignment vertical="center"/>
    </xf>
    <xf numFmtId="0" fontId="13" fillId="0" borderId="2" xfId="0" applyFont="1" applyBorder="1" applyAlignment="1">
      <alignment vertical="center"/>
    </xf>
    <xf numFmtId="182" fontId="13" fillId="0" borderId="2" xfId="0" applyNumberFormat="1" applyFont="1" applyBorder="1" applyAlignment="1">
      <alignment vertical="center"/>
    </xf>
    <xf numFmtId="0" fontId="31" fillId="0" borderId="2" xfId="0" applyFont="1" applyBorder="1" applyAlignment="1">
      <alignment vertical="center"/>
    </xf>
    <xf numFmtId="0" fontId="17" fillId="0" borderId="0" xfId="0" applyFont="1" applyAlignment="1">
      <alignment vertical="center"/>
    </xf>
    <xf numFmtId="0" fontId="43" fillId="12" borderId="2" xfId="0" applyFont="1" applyFill="1" applyBorder="1" applyAlignment="1">
      <alignment horizontal="center" vertical="center" wrapText="1"/>
    </xf>
    <xf numFmtId="0" fontId="40" fillId="0" borderId="2" xfId="0" applyFont="1" applyBorder="1" applyAlignment="1">
      <alignment vertical="center" wrapText="1"/>
    </xf>
    <xf numFmtId="0" fontId="40" fillId="0" borderId="2" xfId="0" applyFont="1" applyBorder="1" applyAlignment="1">
      <alignment horizontal="center" vertical="center" wrapText="1"/>
    </xf>
    <xf numFmtId="3" fontId="40" fillId="7" borderId="2" xfId="0" applyNumberFormat="1" applyFont="1" applyFill="1" applyBorder="1" applyAlignment="1">
      <alignment horizontal="right" vertical="center" wrapText="1"/>
    </xf>
    <xf numFmtId="0" fontId="45" fillId="0" borderId="0" xfId="6" applyFont="1" applyAlignment="1" applyProtection="1">
      <alignment vertical="center"/>
    </xf>
    <xf numFmtId="0" fontId="35" fillId="5" borderId="0" xfId="0" applyFont="1" applyFill="1" applyAlignment="1">
      <alignment horizontal="left" vertical="top"/>
    </xf>
    <xf numFmtId="0" fontId="35" fillId="5" borderId="14" xfId="0" applyFont="1" applyFill="1" applyBorder="1" applyAlignment="1">
      <alignment vertical="top"/>
    </xf>
    <xf numFmtId="0" fontId="35" fillId="5" borderId="14" xfId="0" applyFont="1" applyFill="1" applyBorder="1" applyAlignment="1">
      <alignment vertical="top" wrapText="1"/>
    </xf>
    <xf numFmtId="0" fontId="35" fillId="5" borderId="14" xfId="0" applyFont="1" applyFill="1" applyBorder="1" applyAlignment="1">
      <alignment horizontal="left" vertical="top"/>
    </xf>
    <xf numFmtId="0" fontId="40" fillId="0" borderId="0" xfId="0" applyFont="1" applyFill="1" applyAlignment="1">
      <alignment vertical="top" wrapText="1"/>
    </xf>
    <xf numFmtId="174" fontId="39" fillId="0" borderId="0" xfId="0" applyNumberFormat="1" applyFont="1" applyFill="1" applyAlignment="1">
      <alignment vertical="top"/>
    </xf>
    <xf numFmtId="0" fontId="65" fillId="0" borderId="0" xfId="0" applyFont="1" applyFill="1" applyAlignment="1">
      <alignment vertical="top"/>
    </xf>
    <xf numFmtId="0" fontId="53" fillId="0" borderId="0" xfId="0" applyFont="1" applyFill="1" applyAlignment="1">
      <alignment vertical="top"/>
    </xf>
    <xf numFmtId="0" fontId="52" fillId="0" borderId="0" xfId="0" applyFont="1" applyAlignment="1">
      <alignment vertical="top" wrapText="1"/>
    </xf>
    <xf numFmtId="174" fontId="40" fillId="7" borderId="0" xfId="0" applyNumberFormat="1" applyFont="1" applyFill="1"/>
    <xf numFmtId="0" fontId="45" fillId="0" borderId="0" xfId="6" applyFont="1" applyAlignment="1" applyProtection="1">
      <alignment vertical="top" wrapText="1"/>
    </xf>
    <xf numFmtId="165" fontId="39" fillId="0" borderId="0" xfId="3" applyNumberFormat="1" applyFont="1" applyFill="1" applyAlignment="1">
      <alignment vertical="top"/>
    </xf>
    <xf numFmtId="174" fontId="40" fillId="0" borderId="0" xfId="0" applyNumberFormat="1" applyFont="1" applyAlignment="1">
      <alignment vertical="top"/>
    </xf>
    <xf numFmtId="165" fontId="43" fillId="0" borderId="0" xfId="3" applyNumberFormat="1" applyFont="1" applyAlignment="1">
      <alignment vertical="top"/>
    </xf>
    <xf numFmtId="165" fontId="38" fillId="0" borderId="0" xfId="3" applyNumberFormat="1" applyFont="1" applyFill="1" applyAlignment="1">
      <alignment vertical="top"/>
    </xf>
    <xf numFmtId="165" fontId="65" fillId="0" borderId="0" xfId="3" applyNumberFormat="1" applyFont="1" applyAlignment="1">
      <alignment vertical="top"/>
    </xf>
    <xf numFmtId="165" fontId="53" fillId="0" borderId="0" xfId="3" applyNumberFormat="1" applyFont="1" applyAlignment="1">
      <alignment vertical="top"/>
    </xf>
    <xf numFmtId="0" fontId="40" fillId="7" borderId="0" xfId="0" applyFont="1" applyFill="1"/>
    <xf numFmtId="165" fontId="39" fillId="0" borderId="0" xfId="3" applyNumberFormat="1" applyFont="1" applyAlignment="1">
      <alignment vertical="top"/>
    </xf>
    <xf numFmtId="0" fontId="65" fillId="0" borderId="0" xfId="0" applyFont="1" applyAlignment="1">
      <alignment vertical="top"/>
    </xf>
    <xf numFmtId="0" fontId="53" fillId="0" borderId="0" xfId="0" applyFont="1" applyAlignment="1">
      <alignment vertical="top"/>
    </xf>
    <xf numFmtId="174" fontId="40" fillId="7" borderId="0" xfId="0" applyNumberFormat="1" applyFont="1" applyFill="1" applyAlignment="1">
      <alignment vertical="top"/>
    </xf>
    <xf numFmtId="174" fontId="39" fillId="7" borderId="0" xfId="0" applyNumberFormat="1" applyFont="1" applyFill="1" applyAlignment="1">
      <alignment vertical="top"/>
    </xf>
    <xf numFmtId="0" fontId="43" fillId="0" borderId="0" xfId="0" applyFont="1" applyAlignment="1">
      <alignment horizontal="left" vertical="top" wrapText="1"/>
    </xf>
    <xf numFmtId="174" fontId="43" fillId="0" borderId="0" xfId="0" applyNumberFormat="1" applyFont="1" applyAlignment="1">
      <alignment vertical="top"/>
    </xf>
    <xf numFmtId="174" fontId="43" fillId="0" borderId="0" xfId="0" applyNumberFormat="1" applyFont="1" applyFill="1" applyAlignment="1">
      <alignment vertical="top"/>
    </xf>
    <xf numFmtId="0" fontId="43" fillId="0" borderId="0" xfId="0" applyFont="1" applyAlignment="1">
      <alignment vertical="top" wrapText="1"/>
    </xf>
    <xf numFmtId="0" fontId="43" fillId="0" borderId="0" xfId="0" applyFont="1" applyAlignment="1">
      <alignment horizontal="left" vertical="top"/>
    </xf>
    <xf numFmtId="0" fontId="66" fillId="0" borderId="0" xfId="0" applyFont="1" applyAlignment="1">
      <alignment vertical="top"/>
    </xf>
    <xf numFmtId="167" fontId="40" fillId="0" borderId="0" xfId="0" applyNumberFormat="1" applyFont="1" applyAlignment="1">
      <alignment horizontal="left" vertical="top"/>
    </xf>
    <xf numFmtId="0" fontId="65" fillId="11" borderId="0" xfId="0" applyFont="1" applyFill="1" applyAlignment="1">
      <alignment vertical="top" wrapText="1"/>
    </xf>
    <xf numFmtId="0" fontId="65" fillId="0" borderId="0" xfId="0" applyFont="1" applyAlignment="1">
      <alignment vertical="top" wrapText="1"/>
    </xf>
    <xf numFmtId="0" fontId="65" fillId="0" borderId="0" xfId="0" applyFont="1" applyBorder="1" applyAlignment="1">
      <alignment vertical="top"/>
    </xf>
    <xf numFmtId="0" fontId="66" fillId="14" borderId="0" xfId="0" applyFont="1" applyFill="1" applyAlignment="1">
      <alignment vertical="top" wrapText="1"/>
    </xf>
    <xf numFmtId="167" fontId="66" fillId="14" borderId="0" xfId="0" applyNumberFormat="1" applyFont="1" applyFill="1" applyAlignment="1">
      <alignment vertical="top"/>
    </xf>
    <xf numFmtId="0" fontId="66" fillId="14" borderId="0" xfId="0" applyFont="1" applyFill="1" applyAlignment="1">
      <alignment vertical="top"/>
    </xf>
    <xf numFmtId="0" fontId="66" fillId="14" borderId="0" xfId="0" applyFont="1" applyFill="1"/>
    <xf numFmtId="169" fontId="65" fillId="0" borderId="0" xfId="0" applyNumberFormat="1" applyFont="1" applyBorder="1" applyAlignment="1">
      <alignment vertical="top"/>
    </xf>
    <xf numFmtId="0" fontId="65" fillId="0" borderId="0" xfId="0" applyFont="1" applyAlignment="1">
      <alignment horizontal="left" vertical="top" wrapText="1"/>
    </xf>
    <xf numFmtId="167" fontId="65" fillId="0" borderId="0" xfId="0" applyNumberFormat="1" applyFont="1" applyAlignment="1">
      <alignment vertical="top"/>
    </xf>
    <xf numFmtId="0" fontId="65" fillId="0" borderId="0" xfId="0" applyFont="1"/>
    <xf numFmtId="167" fontId="65" fillId="0" borderId="0" xfId="0" applyNumberFormat="1" applyFont="1" applyAlignment="1">
      <alignment horizontal="right" vertical="top"/>
    </xf>
    <xf numFmtId="0" fontId="65" fillId="0" borderId="0" xfId="0" applyFont="1" applyAlignment="1">
      <alignment horizontal="right" vertical="top"/>
    </xf>
    <xf numFmtId="0" fontId="67" fillId="0" borderId="0" xfId="6" applyFont="1" applyAlignment="1" applyProtection="1">
      <alignment vertical="top" wrapText="1"/>
    </xf>
    <xf numFmtId="0" fontId="35" fillId="0" borderId="0" xfId="0" applyFont="1" applyFill="1" applyBorder="1" applyAlignment="1">
      <alignment vertical="top" wrapText="1"/>
    </xf>
    <xf numFmtId="0" fontId="35" fillId="0" borderId="0" xfId="0" applyFont="1" applyFill="1" applyBorder="1" applyAlignment="1">
      <alignment horizontal="left" vertical="top"/>
    </xf>
    <xf numFmtId="0" fontId="35" fillId="0" borderId="0" xfId="0" applyFont="1" applyFill="1" applyBorder="1" applyAlignment="1">
      <alignment vertical="top"/>
    </xf>
    <xf numFmtId="0" fontId="38" fillId="0" borderId="0" xfId="0" applyFont="1" applyFill="1" applyBorder="1" applyAlignment="1">
      <alignment vertical="top"/>
    </xf>
    <xf numFmtId="0" fontId="52" fillId="0" borderId="0" xfId="0" applyFont="1" applyFill="1" applyBorder="1" applyAlignment="1">
      <alignment vertical="top"/>
    </xf>
    <xf numFmtId="0" fontId="52" fillId="0" borderId="0" xfId="0" applyFont="1" applyAlignment="1">
      <alignment horizontal="left" vertical="top" wrapText="1"/>
    </xf>
    <xf numFmtId="0" fontId="40" fillId="14" borderId="0" xfId="0" applyFont="1" applyFill="1" applyAlignment="1">
      <alignment horizontal="left" vertical="top"/>
    </xf>
    <xf numFmtId="167" fontId="40" fillId="14" borderId="0" xfId="0" applyNumberFormat="1" applyFont="1" applyFill="1" applyAlignment="1">
      <alignment vertical="top"/>
    </xf>
    <xf numFmtId="174" fontId="40" fillId="0" borderId="0" xfId="0" applyNumberFormat="1" applyFont="1" applyFill="1" applyAlignment="1">
      <alignment vertical="top"/>
    </xf>
    <xf numFmtId="167" fontId="40" fillId="0" borderId="0" xfId="0" applyNumberFormat="1" applyFont="1" applyAlignment="1">
      <alignment vertical="top"/>
    </xf>
    <xf numFmtId="167" fontId="40" fillId="0" borderId="0" xfId="0" applyNumberFormat="1" applyFont="1" applyFill="1" applyAlignment="1">
      <alignment vertical="top"/>
    </xf>
    <xf numFmtId="174" fontId="43" fillId="14" borderId="0" xfId="0" applyNumberFormat="1" applyFont="1" applyFill="1" applyAlignment="1">
      <alignment vertical="top"/>
    </xf>
    <xf numFmtId="174" fontId="40" fillId="14" borderId="0" xfId="0" applyNumberFormat="1" applyFont="1" applyFill="1" applyAlignment="1">
      <alignment vertical="top"/>
    </xf>
    <xf numFmtId="167" fontId="51" fillId="0" borderId="0" xfId="0" applyNumberFormat="1" applyFont="1" applyAlignment="1">
      <alignment vertical="top"/>
    </xf>
    <xf numFmtId="165" fontId="51" fillId="0" borderId="0" xfId="3" applyNumberFormat="1" applyFont="1" applyAlignment="1">
      <alignment vertical="top"/>
    </xf>
    <xf numFmtId="0" fontId="40" fillId="14" borderId="0" xfId="0" applyFont="1" applyFill="1" applyAlignment="1">
      <alignment vertical="top"/>
    </xf>
    <xf numFmtId="0" fontId="51" fillId="0" borderId="0" xfId="0" applyFont="1" applyAlignment="1">
      <alignment vertical="top"/>
    </xf>
    <xf numFmtId="167" fontId="43" fillId="0" borderId="0" xfId="0" applyNumberFormat="1" applyFont="1" applyAlignment="1">
      <alignment vertical="top"/>
    </xf>
    <xf numFmtId="165" fontId="40" fillId="0" borderId="0" xfId="3" applyNumberFormat="1" applyFont="1" applyAlignment="1">
      <alignment horizontal="right" vertical="top"/>
    </xf>
    <xf numFmtId="167" fontId="40" fillId="14" borderId="0" xfId="3" applyNumberFormat="1" applyFont="1" applyFill="1" applyAlignment="1">
      <alignment vertical="top"/>
    </xf>
    <xf numFmtId="17" fontId="38" fillId="0" borderId="0" xfId="0" applyNumberFormat="1" applyFont="1" applyAlignment="1">
      <alignment vertical="top"/>
    </xf>
    <xf numFmtId="1" fontId="39" fillId="14" borderId="0" xfId="0" applyNumberFormat="1" applyFont="1" applyFill="1" applyAlignment="1">
      <alignment horizontal="left" vertical="top"/>
    </xf>
    <xf numFmtId="167" fontId="39" fillId="14" borderId="0" xfId="0" applyNumberFormat="1" applyFont="1" applyFill="1" applyAlignment="1">
      <alignment horizontal="right" vertical="top"/>
    </xf>
    <xf numFmtId="167" fontId="38" fillId="0" borderId="0" xfId="0" applyNumberFormat="1" applyFont="1" applyFill="1" applyAlignment="1">
      <alignment vertical="top"/>
    </xf>
    <xf numFmtId="1" fontId="39" fillId="14" borderId="0" xfId="3" applyNumberFormat="1" applyFont="1" applyFill="1" applyAlignment="1">
      <alignment horizontal="left" vertical="top"/>
    </xf>
    <xf numFmtId="167" fontId="39" fillId="14" borderId="0" xfId="3" applyNumberFormat="1" applyFont="1" applyFill="1" applyAlignment="1">
      <alignment horizontal="right" vertical="top"/>
    </xf>
    <xf numFmtId="1" fontId="39" fillId="0" borderId="0" xfId="3" applyNumberFormat="1" applyFont="1" applyFill="1" applyAlignment="1">
      <alignment horizontal="left" vertical="top"/>
    </xf>
    <xf numFmtId="167" fontId="39" fillId="0" borderId="0" xfId="3" applyNumberFormat="1" applyFont="1" applyFill="1" applyAlignment="1">
      <alignment horizontal="right" vertical="top"/>
    </xf>
    <xf numFmtId="167" fontId="39" fillId="0" borderId="0" xfId="0" applyNumberFormat="1" applyFont="1" applyFill="1" applyAlignment="1">
      <alignment horizontal="right" vertical="top"/>
    </xf>
    <xf numFmtId="1" fontId="39" fillId="0" borderId="0" xfId="0" applyNumberFormat="1" applyFont="1" applyFill="1" applyAlignment="1">
      <alignment horizontal="left" vertical="top"/>
    </xf>
    <xf numFmtId="167" fontId="39" fillId="0" borderId="0" xfId="0" applyNumberFormat="1" applyFont="1" applyFill="1" applyBorder="1" applyAlignment="1">
      <alignment horizontal="right" vertical="top"/>
    </xf>
    <xf numFmtId="167" fontId="42" fillId="0" borderId="0" xfId="0" applyNumberFormat="1" applyFont="1" applyFill="1" applyAlignment="1">
      <alignment horizontal="right" vertical="top"/>
    </xf>
    <xf numFmtId="167" fontId="68" fillId="0" borderId="0" xfId="0" applyNumberFormat="1" applyFont="1" applyFill="1" applyAlignment="1">
      <alignment vertical="top"/>
    </xf>
    <xf numFmtId="0" fontId="44" fillId="0" borderId="0" xfId="0" applyFont="1" applyAlignment="1">
      <alignment vertical="top"/>
    </xf>
    <xf numFmtId="0" fontId="52" fillId="0" borderId="0" xfId="0" applyFont="1" applyAlignment="1">
      <alignment vertical="top"/>
    </xf>
    <xf numFmtId="0" fontId="43" fillId="15" borderId="0" xfId="0" applyFont="1" applyFill="1" applyAlignment="1">
      <alignment vertical="top" wrapText="1"/>
    </xf>
    <xf numFmtId="0" fontId="43" fillId="15" borderId="0" xfId="0" applyFont="1" applyFill="1" applyAlignment="1">
      <alignment horizontal="left" vertical="top"/>
    </xf>
    <xf numFmtId="0" fontId="43" fillId="15" borderId="0" xfId="0" applyFont="1" applyFill="1" applyAlignment="1">
      <alignment vertical="top"/>
    </xf>
    <xf numFmtId="174" fontId="43" fillId="0" borderId="0" xfId="0" applyNumberFormat="1" applyFont="1" applyAlignment="1">
      <alignment horizontal="center" vertical="top"/>
    </xf>
    <xf numFmtId="183" fontId="57" fillId="0" borderId="0" xfId="12" applyNumberFormat="1" applyFont="1" applyFill="1" applyAlignment="1">
      <alignment horizontal="right"/>
    </xf>
    <xf numFmtId="183" fontId="70" fillId="0" borderId="0" xfId="12" applyNumberFormat="1" applyFont="1"/>
    <xf numFmtId="183" fontId="40" fillId="0" borderId="0" xfId="0" applyNumberFormat="1" applyFont="1" applyAlignment="1">
      <alignment horizontal="left" vertical="top"/>
    </xf>
    <xf numFmtId="183" fontId="40" fillId="0" borderId="0" xfId="0" applyNumberFormat="1" applyFont="1" applyAlignment="1">
      <alignment vertical="top"/>
    </xf>
    <xf numFmtId="167" fontId="40" fillId="0" borderId="0" xfId="0" applyNumberFormat="1" applyFont="1" applyAlignment="1">
      <alignment horizontal="right" vertical="top"/>
    </xf>
    <xf numFmtId="0" fontId="47" fillId="0" borderId="0" xfId="0" applyFont="1" applyAlignment="1">
      <alignment vertical="top" wrapText="1"/>
    </xf>
    <xf numFmtId="0" fontId="45" fillId="0" borderId="0" xfId="13" applyFont="1" applyAlignment="1" applyProtection="1"/>
    <xf numFmtId="0" fontId="74" fillId="0" borderId="0" xfId="0" applyFont="1" applyFill="1" applyBorder="1"/>
    <xf numFmtId="0" fontId="73" fillId="0" borderId="0" xfId="0" applyFont="1" applyFill="1" applyBorder="1"/>
    <xf numFmtId="0" fontId="20" fillId="0" borderId="0" xfId="6" applyAlignment="1" applyProtection="1"/>
    <xf numFmtId="0" fontId="75" fillId="0" borderId="0" xfId="0" applyFont="1"/>
    <xf numFmtId="0" fontId="76" fillId="0" borderId="0" xfId="0" applyFont="1"/>
    <xf numFmtId="0" fontId="3" fillId="4" borderId="0" xfId="0" applyFont="1" applyFill="1"/>
    <xf numFmtId="9" fontId="0" fillId="0" borderId="0" xfId="0" applyNumberFormat="1" applyAlignment="1">
      <alignment horizontal="center"/>
    </xf>
    <xf numFmtId="0" fontId="0" fillId="0" borderId="0" xfId="0" applyFont="1" applyAlignment="1">
      <alignment horizontal="left" indent="1"/>
    </xf>
    <xf numFmtId="0" fontId="7" fillId="0" borderId="0" xfId="0" applyFont="1" applyAlignment="1">
      <alignment horizontal="center"/>
    </xf>
    <xf numFmtId="0" fontId="7" fillId="0" borderId="0" xfId="0" applyFont="1" applyAlignment="1">
      <alignment horizontal="left"/>
    </xf>
    <xf numFmtId="0" fontId="0" fillId="0" borderId="2" xfId="0" applyBorder="1"/>
    <xf numFmtId="1" fontId="75" fillId="17" borderId="2" xfId="0" applyNumberFormat="1" applyFont="1" applyFill="1" applyBorder="1" applyAlignment="1">
      <alignment horizontal="center"/>
    </xf>
    <xf numFmtId="2" fontId="0" fillId="17" borderId="2" xfId="0" applyNumberFormat="1" applyFill="1" applyBorder="1" applyAlignment="1">
      <alignment horizontal="center"/>
    </xf>
    <xf numFmtId="0" fontId="0" fillId="0" borderId="0" xfId="0" applyBorder="1"/>
    <xf numFmtId="3" fontId="6" fillId="17" borderId="2" xfId="0" applyNumberFormat="1" applyFont="1" applyFill="1" applyBorder="1" applyAlignment="1">
      <alignment horizontal="center"/>
    </xf>
    <xf numFmtId="0" fontId="0" fillId="0" borderId="0" xfId="0" applyFont="1" applyAlignment="1">
      <alignment horizontal="center"/>
    </xf>
    <xf numFmtId="0" fontId="75" fillId="0" borderId="0" xfId="0" applyFont="1" applyAlignment="1">
      <alignment horizontal="center"/>
    </xf>
    <xf numFmtId="0" fontId="3" fillId="19" borderId="0" xfId="0" applyFont="1" applyFill="1"/>
    <xf numFmtId="1" fontId="0" fillId="0" borderId="2" xfId="0" applyNumberFormat="1" applyBorder="1" applyAlignment="1">
      <alignment horizontal="center"/>
    </xf>
    <xf numFmtId="0" fontId="3" fillId="4" borderId="2" xfId="0" applyFont="1" applyFill="1" applyBorder="1" applyAlignment="1">
      <alignment horizontal="center"/>
    </xf>
    <xf numFmtId="0" fontId="0" fillId="0" borderId="0" xfId="0" applyFill="1"/>
    <xf numFmtId="1" fontId="75" fillId="0" borderId="0" xfId="0" applyNumberFormat="1" applyFont="1" applyFill="1" applyBorder="1" applyAlignment="1">
      <alignment horizontal="center"/>
    </xf>
    <xf numFmtId="0" fontId="75" fillId="0" borderId="0" xfId="0" applyFont="1" applyFill="1"/>
    <xf numFmtId="0" fontId="0" fillId="0" borderId="0" xfId="0" applyFont="1" applyFill="1"/>
    <xf numFmtId="0" fontId="0" fillId="0" borderId="0" xfId="0" applyFont="1" applyFill="1" applyBorder="1"/>
    <xf numFmtId="0" fontId="71" fillId="0" borderId="0" xfId="0" applyFont="1" applyFill="1" applyBorder="1" applyAlignment="1">
      <alignment horizontal="left"/>
    </xf>
    <xf numFmtId="0" fontId="72" fillId="0" borderId="0" xfId="0" applyFont="1" applyFill="1" applyBorder="1" applyAlignment="1">
      <alignment horizontal="left"/>
    </xf>
    <xf numFmtId="0" fontId="76" fillId="0" borderId="0" xfId="0" applyFont="1" applyFill="1" applyBorder="1"/>
    <xf numFmtId="0" fontId="3" fillId="4" borderId="37" xfId="0" applyFont="1" applyFill="1" applyBorder="1" applyAlignment="1">
      <alignment horizontal="center"/>
    </xf>
    <xf numFmtId="0" fontId="3" fillId="4" borderId="42" xfId="0" applyFont="1" applyFill="1" applyBorder="1" applyAlignment="1">
      <alignment horizontal="center"/>
    </xf>
    <xf numFmtId="0" fontId="0" fillId="0" borderId="41" xfId="0" applyBorder="1"/>
    <xf numFmtId="0" fontId="75" fillId="7" borderId="41" xfId="0" applyFont="1" applyFill="1" applyBorder="1"/>
    <xf numFmtId="0" fontId="75" fillId="7" borderId="36" xfId="0" applyFont="1" applyFill="1" applyBorder="1"/>
    <xf numFmtId="0" fontId="3" fillId="4" borderId="39" xfId="0" applyFont="1" applyFill="1" applyBorder="1" applyAlignment="1">
      <alignment horizontal="right"/>
    </xf>
    <xf numFmtId="0" fontId="3" fillId="4" borderId="40" xfId="0" applyFont="1" applyFill="1" applyBorder="1" applyAlignment="1">
      <alignment horizontal="right"/>
    </xf>
    <xf numFmtId="0" fontId="3" fillId="4" borderId="0" xfId="0" applyFont="1" applyFill="1" applyAlignment="1">
      <alignment horizontal="right"/>
    </xf>
    <xf numFmtId="0" fontId="0" fillId="0" borderId="0" xfId="0" applyFont="1" applyFill="1" applyAlignment="1">
      <alignment horizontal="right"/>
    </xf>
    <xf numFmtId="2" fontId="0" fillId="0" borderId="0" xfId="0" applyNumberFormat="1" applyAlignment="1">
      <alignment horizontal="right"/>
    </xf>
    <xf numFmtId="0" fontId="0" fillId="0" borderId="0" xfId="0" applyAlignment="1">
      <alignment horizontal="right"/>
    </xf>
    <xf numFmtId="0" fontId="0" fillId="0" borderId="0" xfId="0" applyBorder="1" applyAlignment="1">
      <alignment horizontal="right"/>
    </xf>
    <xf numFmtId="184" fontId="0" fillId="0" borderId="0" xfId="0" applyNumberFormat="1" applyBorder="1" applyAlignment="1">
      <alignment horizontal="right"/>
    </xf>
    <xf numFmtId="0" fontId="75" fillId="0" borderId="0" xfId="0" applyFont="1" applyAlignment="1">
      <alignment horizontal="right"/>
    </xf>
    <xf numFmtId="187" fontId="0" fillId="0" borderId="0" xfId="0" applyNumberFormat="1" applyFont="1" applyFill="1" applyAlignment="1">
      <alignment horizontal="right"/>
    </xf>
    <xf numFmtId="2" fontId="75" fillId="7" borderId="37" xfId="0" applyNumberFormat="1" applyFont="1" applyFill="1" applyBorder="1"/>
    <xf numFmtId="0" fontId="77" fillId="4" borderId="43" xfId="0" applyFont="1" applyFill="1" applyBorder="1" applyAlignment="1">
      <alignment horizontal="center" vertical="center" wrapText="1"/>
    </xf>
    <xf numFmtId="0" fontId="78" fillId="0" borderId="0" xfId="0" applyFont="1" applyFill="1"/>
    <xf numFmtId="0" fontId="78" fillId="16" borderId="47" xfId="0" applyFont="1" applyFill="1" applyBorder="1" applyAlignment="1">
      <alignment horizontal="center" vertical="center"/>
    </xf>
    <xf numFmtId="0" fontId="77" fillId="4" borderId="47" xfId="0" applyFont="1" applyFill="1" applyBorder="1" applyAlignment="1">
      <alignment horizontal="center" vertical="top"/>
    </xf>
    <xf numFmtId="0" fontId="78" fillId="0" borderId="0" xfId="0" applyFont="1"/>
    <xf numFmtId="0" fontId="79" fillId="0" borderId="0" xfId="0" applyFont="1"/>
    <xf numFmtId="0" fontId="77" fillId="4" borderId="43" xfId="0" applyFont="1" applyFill="1" applyBorder="1" applyAlignment="1">
      <alignment horizontal="center" vertical="center"/>
    </xf>
    <xf numFmtId="0" fontId="79" fillId="0" borderId="0" xfId="0" applyFont="1" applyFill="1"/>
    <xf numFmtId="0" fontId="78" fillId="0" borderId="0" xfId="0" applyFont="1" applyFill="1" applyBorder="1"/>
    <xf numFmtId="0" fontId="80" fillId="4" borderId="43" xfId="0" applyFont="1" applyFill="1" applyBorder="1" applyAlignment="1">
      <alignment horizontal="center" vertical="top"/>
    </xf>
    <xf numFmtId="0" fontId="80" fillId="4" borderId="43" xfId="0" applyFont="1" applyFill="1" applyBorder="1" applyAlignment="1">
      <alignment horizontal="center" vertical="top" wrapText="1"/>
    </xf>
    <xf numFmtId="0" fontId="81" fillId="0" borderId="0" xfId="0" applyFont="1" applyFill="1" applyAlignment="1">
      <alignment vertical="center"/>
    </xf>
    <xf numFmtId="0" fontId="80" fillId="4" borderId="43" xfId="0" applyFont="1" applyFill="1" applyBorder="1" applyAlignment="1">
      <alignment horizontal="center"/>
    </xf>
    <xf numFmtId="0" fontId="80" fillId="4" borderId="49" xfId="0" applyFont="1" applyFill="1" applyBorder="1" applyAlignment="1">
      <alignment horizontal="center"/>
    </xf>
    <xf numFmtId="0" fontId="78" fillId="0" borderId="43" xfId="0" applyFont="1" applyBorder="1" applyAlignment="1">
      <alignment horizontal="center" vertical="center"/>
    </xf>
    <xf numFmtId="0" fontId="79" fillId="0" borderId="0" xfId="0" applyFont="1" applyAlignment="1"/>
    <xf numFmtId="0" fontId="78" fillId="0" borderId="0" xfId="0" applyFont="1" applyAlignment="1"/>
    <xf numFmtId="0" fontId="77" fillId="4" borderId="49" xfId="0" applyFont="1" applyFill="1" applyBorder="1" applyAlignment="1">
      <alignment horizontal="center" vertical="center" wrapText="1"/>
    </xf>
    <xf numFmtId="0" fontId="77" fillId="4" borderId="49" xfId="0" applyFont="1" applyFill="1" applyBorder="1" applyAlignment="1">
      <alignment horizontal="center" vertical="center"/>
    </xf>
    <xf numFmtId="0" fontId="83" fillId="0" borderId="47" xfId="0" applyFont="1" applyBorder="1" applyAlignment="1">
      <alignment vertical="top" wrapText="1"/>
    </xf>
    <xf numFmtId="9" fontId="83" fillId="0" borderId="47" xfId="3" applyFont="1" applyBorder="1" applyAlignment="1">
      <alignment horizontal="center" vertical="top" wrapText="1"/>
    </xf>
    <xf numFmtId="0" fontId="83" fillId="0" borderId="47" xfId="0" applyNumberFormat="1" applyFont="1" applyBorder="1" applyAlignment="1">
      <alignment horizontal="left" vertical="top" wrapText="1"/>
    </xf>
    <xf numFmtId="0" fontId="83" fillId="0" borderId="47" xfId="3" applyNumberFormat="1" applyFont="1" applyBorder="1" applyAlignment="1">
      <alignment horizontal="center" vertical="top" wrapText="1"/>
    </xf>
    <xf numFmtId="3" fontId="83" fillId="0" borderId="47" xfId="3" applyNumberFormat="1" applyFont="1" applyBorder="1" applyAlignment="1">
      <alignment horizontal="center" vertical="top" wrapText="1"/>
    </xf>
    <xf numFmtId="0" fontId="84" fillId="0" borderId="0" xfId="0" applyFont="1" applyFill="1"/>
    <xf numFmtId="0" fontId="83" fillId="0" borderId="47" xfId="0" applyFont="1" applyBorder="1" applyAlignment="1">
      <alignment horizontal="left" vertical="top" wrapText="1"/>
    </xf>
    <xf numFmtId="0" fontId="79" fillId="20" borderId="2" xfId="0" applyFont="1" applyFill="1" applyBorder="1"/>
    <xf numFmtId="0" fontId="79" fillId="0" borderId="0" xfId="0" applyFont="1" applyFill="1" applyBorder="1"/>
    <xf numFmtId="1" fontId="83" fillId="0" borderId="47" xfId="3" applyNumberFormat="1" applyFont="1" applyBorder="1" applyAlignment="1">
      <alignment horizontal="center" vertical="top" wrapText="1"/>
    </xf>
    <xf numFmtId="1" fontId="83" fillId="0" borderId="47" xfId="3" applyNumberFormat="1" applyFont="1" applyBorder="1" applyAlignment="1">
      <alignment horizontal="left" vertical="top" wrapText="1"/>
    </xf>
    <xf numFmtId="3" fontId="83" fillId="0" borderId="47" xfId="3" applyNumberFormat="1" applyFont="1" applyBorder="1" applyAlignment="1">
      <alignment horizontal="left" vertical="top" wrapText="1"/>
    </xf>
    <xf numFmtId="0" fontId="83" fillId="0" borderId="47" xfId="0" applyFont="1" applyBorder="1" applyAlignment="1">
      <alignment horizontal="center" vertical="top" wrapText="1"/>
    </xf>
    <xf numFmtId="0" fontId="77" fillId="4" borderId="49" xfId="0" applyFont="1" applyFill="1" applyBorder="1" applyAlignment="1">
      <alignment horizontal="left" vertical="center" wrapText="1"/>
    </xf>
    <xf numFmtId="0" fontId="80" fillId="4" borderId="43" xfId="0" applyFont="1" applyFill="1" applyBorder="1" applyAlignment="1">
      <alignment horizontal="left"/>
    </xf>
    <xf numFmtId="3" fontId="83" fillId="0" borderId="47" xfId="0" applyNumberFormat="1" applyFont="1" applyBorder="1" applyAlignment="1">
      <alignment horizontal="center" wrapText="1"/>
    </xf>
    <xf numFmtId="9" fontId="83" fillId="0" borderId="47" xfId="3" applyFont="1" applyBorder="1" applyAlignment="1">
      <alignment horizontal="center" wrapText="1"/>
    </xf>
    <xf numFmtId="0" fontId="77" fillId="4" borderId="43" xfId="0" applyFont="1" applyFill="1" applyBorder="1" applyAlignment="1">
      <alignment horizontal="left" vertical="center"/>
    </xf>
    <xf numFmtId="0" fontId="0" fillId="0" borderId="2" xfId="0" applyBorder="1" applyAlignment="1">
      <alignment wrapText="1"/>
    </xf>
    <xf numFmtId="164" fontId="0" fillId="0" borderId="2" xfId="0" applyNumberFormat="1" applyBorder="1" applyAlignment="1">
      <alignment horizontal="center"/>
    </xf>
    <xf numFmtId="0" fontId="4" fillId="4" borderId="2" xfId="0" applyFont="1" applyFill="1" applyBorder="1"/>
    <xf numFmtId="0" fontId="0" fillId="21" borderId="0" xfId="0" applyFill="1"/>
    <xf numFmtId="0" fontId="0" fillId="21" borderId="0" xfId="0" applyFill="1" applyAlignment="1"/>
    <xf numFmtId="0" fontId="0" fillId="21" borderId="0" xfId="0" quotePrefix="1" applyFill="1"/>
    <xf numFmtId="0" fontId="88" fillId="21" borderId="0" xfId="0" applyFont="1" applyFill="1" applyAlignment="1">
      <alignment vertical="top" wrapText="1"/>
    </xf>
    <xf numFmtId="0" fontId="3" fillId="4" borderId="38" xfId="0" applyFont="1" applyFill="1" applyBorder="1" applyAlignment="1">
      <alignment horizontal="left"/>
    </xf>
    <xf numFmtId="0" fontId="75" fillId="17" borderId="41" xfId="0" applyFont="1" applyFill="1" applyBorder="1"/>
    <xf numFmtId="0" fontId="75" fillId="17" borderId="36" xfId="0" applyFont="1" applyFill="1" applyBorder="1"/>
    <xf numFmtId="0" fontId="3" fillId="4" borderId="2" xfId="0" applyFont="1" applyFill="1" applyBorder="1" applyAlignment="1">
      <alignment horizontal="left"/>
    </xf>
    <xf numFmtId="0" fontId="0" fillId="0" borderId="2" xfId="0" applyFont="1" applyBorder="1" applyAlignment="1">
      <alignment horizontal="left" vertical="top"/>
    </xf>
    <xf numFmtId="0" fontId="0" fillId="0" borderId="2" xfId="0" applyFont="1" applyBorder="1" applyAlignment="1">
      <alignment horizontal="center" vertical="top"/>
    </xf>
    <xf numFmtId="3" fontId="6" fillId="0" borderId="2" xfId="3" applyNumberFormat="1" applyFont="1" applyFill="1" applyBorder="1" applyAlignment="1">
      <alignment horizontal="center" vertical="top"/>
    </xf>
    <xf numFmtId="9" fontId="6" fillId="0" borderId="2" xfId="3" applyFont="1" applyFill="1" applyBorder="1" applyAlignment="1">
      <alignment horizontal="center" vertical="top"/>
    </xf>
    <xf numFmtId="1" fontId="6" fillId="0" borderId="2" xfId="3" applyNumberFormat="1" applyFont="1" applyFill="1" applyBorder="1" applyAlignment="1">
      <alignment horizontal="center" vertical="top"/>
    </xf>
    <xf numFmtId="1" fontId="1" fillId="0" borderId="2" xfId="3" applyNumberFormat="1" applyFont="1" applyFill="1" applyBorder="1" applyAlignment="1">
      <alignment horizontal="center" vertical="top"/>
    </xf>
    <xf numFmtId="3" fontId="6" fillId="0" borderId="2" xfId="0" applyNumberFormat="1" applyFont="1" applyBorder="1" applyAlignment="1">
      <alignment horizontal="center" vertical="top"/>
    </xf>
    <xf numFmtId="1" fontId="0" fillId="0" borderId="2" xfId="0" applyNumberFormat="1" applyFont="1" applyBorder="1" applyAlignment="1">
      <alignment horizontal="center" vertical="top"/>
    </xf>
    <xf numFmtId="0" fontId="0" fillId="0" borderId="2" xfId="0" applyBorder="1" applyAlignment="1">
      <alignment horizontal="left" vertical="top"/>
    </xf>
    <xf numFmtId="0" fontId="0" fillId="0" borderId="2" xfId="0" applyBorder="1" applyAlignment="1">
      <alignment horizontal="center" vertical="top"/>
    </xf>
    <xf numFmtId="0" fontId="6" fillId="0" borderId="2" xfId="0" applyFont="1" applyBorder="1" applyAlignment="1">
      <alignment horizontal="center" vertical="top"/>
    </xf>
    <xf numFmtId="164" fontId="6" fillId="0" borderId="2" xfId="0" applyNumberFormat="1" applyFont="1" applyBorder="1" applyAlignment="1">
      <alignment horizontal="center" vertical="top"/>
    </xf>
    <xf numFmtId="9" fontId="6" fillId="0" borderId="2" xfId="3" applyFont="1" applyBorder="1" applyAlignment="1">
      <alignment horizontal="center" vertical="top"/>
    </xf>
    <xf numFmtId="3" fontId="6" fillId="0" borderId="2" xfId="0" applyNumberFormat="1" applyFont="1" applyFill="1" applyBorder="1" applyAlignment="1">
      <alignment horizontal="center" vertical="top"/>
    </xf>
    <xf numFmtId="0" fontId="0" fillId="0" borderId="2" xfId="0" applyFont="1" applyBorder="1" applyAlignment="1">
      <alignment vertical="top"/>
    </xf>
    <xf numFmtId="166" fontId="6" fillId="0" borderId="2" xfId="0" applyNumberFormat="1" applyFont="1" applyBorder="1" applyAlignment="1">
      <alignment horizontal="center" vertical="top"/>
    </xf>
    <xf numFmtId="0" fontId="90" fillId="0" borderId="0" xfId="14"/>
    <xf numFmtId="0" fontId="94" fillId="0" borderId="0" xfId="14" applyFont="1"/>
    <xf numFmtId="2" fontId="0" fillId="7" borderId="2" xfId="0" applyNumberFormat="1" applyFill="1" applyBorder="1"/>
    <xf numFmtId="0" fontId="75" fillId="0" borderId="0" xfId="0" applyFont="1" applyAlignment="1">
      <alignment horizontal="left" indent="1"/>
    </xf>
    <xf numFmtId="0" fontId="0" fillId="0" borderId="53" xfId="0" applyBorder="1" applyAlignment="1">
      <alignment horizontal="center"/>
    </xf>
    <xf numFmtId="0" fontId="3" fillId="0" borderId="0" xfId="0" applyFont="1" applyFill="1" applyAlignment="1">
      <alignment horizontal="right"/>
    </xf>
    <xf numFmtId="0" fontId="0" fillId="0" borderId="0" xfId="0" applyAlignment="1">
      <alignment horizontal="left" indent="1"/>
    </xf>
    <xf numFmtId="0" fontId="0" fillId="0" borderId="53" xfId="0" applyBorder="1" applyAlignment="1">
      <alignment horizontal="left" indent="1"/>
    </xf>
    <xf numFmtId="0" fontId="75" fillId="0" borderId="0" xfId="0" applyFont="1" applyBorder="1" applyAlignment="1">
      <alignment horizontal="center"/>
    </xf>
    <xf numFmtId="184" fontId="75" fillId="0" borderId="0" xfId="0" applyNumberFormat="1" applyFont="1" applyBorder="1" applyAlignment="1">
      <alignment horizontal="right"/>
    </xf>
    <xf numFmtId="0" fontId="0" fillId="0" borderId="0" xfId="0" applyBorder="1" applyAlignment="1">
      <alignment horizontal="left" vertical="top"/>
    </xf>
    <xf numFmtId="0" fontId="3" fillId="4" borderId="12" xfId="0" applyFont="1" applyFill="1" applyBorder="1" applyAlignment="1">
      <alignment horizontal="left"/>
    </xf>
    <xf numFmtId="0" fontId="0" fillId="0" borderId="51" xfId="0" applyBorder="1" applyAlignment="1">
      <alignment horizontal="left" vertical="top"/>
    </xf>
    <xf numFmtId="0" fontId="0" fillId="0" borderId="2" xfId="0" applyBorder="1" applyAlignment="1">
      <alignment horizontal="left" vertical="top" indent="1"/>
    </xf>
    <xf numFmtId="0" fontId="0" fillId="0" borderId="51" xfId="0" applyBorder="1" applyAlignment="1">
      <alignment horizontal="center" vertical="top"/>
    </xf>
    <xf numFmtId="164" fontId="6" fillId="0" borderId="51" xfId="0" applyNumberFormat="1" applyFont="1" applyBorder="1" applyAlignment="1">
      <alignment horizontal="center" vertical="top"/>
    </xf>
    <xf numFmtId="0" fontId="0" fillId="0" borderId="53" xfId="0" applyBorder="1" applyAlignment="1">
      <alignment horizontal="center" vertical="top"/>
    </xf>
    <xf numFmtId="164" fontId="6" fillId="0" borderId="53" xfId="0" applyNumberFormat="1" applyFont="1" applyBorder="1" applyAlignment="1">
      <alignment horizontal="center" vertical="top"/>
    </xf>
    <xf numFmtId="164" fontId="6" fillId="0" borderId="2" xfId="0" applyNumberFormat="1" applyFont="1" applyFill="1" applyBorder="1" applyAlignment="1">
      <alignment horizontal="center" vertical="top"/>
    </xf>
    <xf numFmtId="4" fontId="6" fillId="0" borderId="2" xfId="0" applyNumberFormat="1" applyFont="1" applyBorder="1" applyAlignment="1">
      <alignment horizontal="center" vertical="top"/>
    </xf>
    <xf numFmtId="0" fontId="5" fillId="0" borderId="0" xfId="0" applyFont="1"/>
    <xf numFmtId="0" fontId="0" fillId="0" borderId="0" xfId="0" applyBorder="1" applyAlignment="1">
      <alignment horizontal="center"/>
    </xf>
    <xf numFmtId="0" fontId="0" fillId="0" borderId="0" xfId="0" applyBorder="1" applyAlignment="1"/>
    <xf numFmtId="0" fontId="0" fillId="0" borderId="0" xfId="0" applyFont="1" applyBorder="1" applyAlignment="1">
      <alignment horizontal="left" indent="1"/>
    </xf>
    <xf numFmtId="0" fontId="75" fillId="0" borderId="0" xfId="0" applyFont="1" applyBorder="1" applyAlignment="1">
      <alignment horizontal="left" indent="1"/>
    </xf>
    <xf numFmtId="0" fontId="0" fillId="0" borderId="0" xfId="0" applyFont="1" applyBorder="1" applyAlignment="1">
      <alignment horizontal="left"/>
    </xf>
    <xf numFmtId="0" fontId="3" fillId="0" borderId="0" xfId="0" applyFont="1" applyFill="1" applyAlignment="1">
      <alignment horizontal="center"/>
    </xf>
    <xf numFmtId="3" fontId="0" fillId="0" borderId="2" xfId="0" applyNumberFormat="1" applyFont="1" applyFill="1" applyBorder="1" applyAlignment="1">
      <alignment horizontal="center" vertical="top"/>
    </xf>
    <xf numFmtId="0" fontId="95" fillId="0" borderId="0" xfId="0" applyFont="1" applyAlignment="1">
      <alignment horizontal="left"/>
    </xf>
    <xf numFmtId="0" fontId="0" fillId="0" borderId="0" xfId="0" applyFont="1" applyBorder="1" applyAlignment="1">
      <alignment vertical="top"/>
    </xf>
    <xf numFmtId="4" fontId="6" fillId="17" borderId="2" xfId="0" applyNumberFormat="1" applyFont="1" applyFill="1" applyBorder="1" applyAlignment="1">
      <alignment horizontal="center"/>
    </xf>
    <xf numFmtId="0" fontId="3" fillId="0" borderId="0" xfId="0" applyFont="1" applyFill="1"/>
    <xf numFmtId="0" fontId="75" fillId="0" borderId="0" xfId="0" applyFont="1" applyFill="1" applyAlignment="1">
      <alignment horizontal="left"/>
    </xf>
    <xf numFmtId="0" fontId="95" fillId="0" borderId="0" xfId="0" applyFont="1" applyFill="1" applyAlignment="1">
      <alignment horizontal="left"/>
    </xf>
    <xf numFmtId="0" fontId="0" fillId="0" borderId="0" xfId="0" applyFont="1" applyFill="1" applyAlignment="1">
      <alignment horizontal="left"/>
    </xf>
    <xf numFmtId="184" fontId="75" fillId="0" borderId="0" xfId="0" applyNumberFormat="1" applyFont="1" applyBorder="1" applyAlignment="1">
      <alignment horizontal="center"/>
    </xf>
    <xf numFmtId="0" fontId="0" fillId="0" borderId="0" xfId="0" applyFont="1" applyFill="1" applyAlignment="1">
      <alignment horizontal="left" indent="1"/>
    </xf>
    <xf numFmtId="189" fontId="0" fillId="0" borderId="0" xfId="0" applyNumberFormat="1" applyFill="1"/>
    <xf numFmtId="9" fontId="6" fillId="0" borderId="0" xfId="0" applyNumberFormat="1" applyFont="1" applyFill="1" applyBorder="1" applyAlignment="1">
      <alignment horizontal="center"/>
    </xf>
    <xf numFmtId="0" fontId="95" fillId="0" borderId="0" xfId="0" applyFont="1" applyFill="1" applyAlignment="1">
      <alignment horizontal="center"/>
    </xf>
    <xf numFmtId="0" fontId="95" fillId="0" borderId="0" xfId="0" applyFont="1" applyFill="1"/>
    <xf numFmtId="0" fontId="6" fillId="17" borderId="2" xfId="0" applyFont="1" applyFill="1" applyBorder="1" applyAlignment="1">
      <alignment horizontal="center"/>
    </xf>
    <xf numFmtId="190" fontId="0" fillId="0" borderId="0" xfId="0" applyNumberFormat="1"/>
    <xf numFmtId="186" fontId="0" fillId="0" borderId="0" xfId="0" applyNumberFormat="1"/>
    <xf numFmtId="189" fontId="75" fillId="0" borderId="0" xfId="0" applyNumberFormat="1" applyFont="1" applyFill="1"/>
    <xf numFmtId="0" fontId="75" fillId="0" borderId="0" xfId="0" applyFont="1" applyFill="1" applyAlignment="1">
      <alignment horizontal="left" indent="1"/>
    </xf>
    <xf numFmtId="190" fontId="75" fillId="0" borderId="0" xfId="0" applyNumberFormat="1" applyFont="1"/>
    <xf numFmtId="187" fontId="75" fillId="0" borderId="0" xfId="0" applyNumberFormat="1" applyFont="1"/>
    <xf numFmtId="186" fontId="75" fillId="0" borderId="0" xfId="0" applyNumberFormat="1" applyFont="1"/>
    <xf numFmtId="0" fontId="0" fillId="0" borderId="53" xfId="0" applyFont="1" applyFill="1" applyBorder="1" applyAlignment="1">
      <alignment horizontal="left" indent="1"/>
    </xf>
    <xf numFmtId="0" fontId="0" fillId="0" borderId="53" xfId="0" applyFill="1" applyBorder="1"/>
    <xf numFmtId="186" fontId="0" fillId="0" borderId="53" xfId="0" applyNumberFormat="1" applyBorder="1"/>
    <xf numFmtId="184" fontId="75" fillId="0" borderId="53" xfId="0" applyNumberFormat="1" applyFont="1" applyBorder="1" applyAlignment="1">
      <alignment horizontal="center"/>
    </xf>
    <xf numFmtId="189" fontId="0" fillId="0" borderId="53" xfId="0" applyNumberFormat="1" applyFill="1" applyBorder="1"/>
    <xf numFmtId="0" fontId="95" fillId="0" borderId="16" xfId="0" applyFont="1" applyBorder="1" applyAlignment="1">
      <alignment horizontal="left"/>
    </xf>
    <xf numFmtId="0" fontId="0" fillId="17" borderId="0" xfId="0" applyFill="1"/>
    <xf numFmtId="185" fontId="0" fillId="0" borderId="0" xfId="0" applyNumberFormat="1" applyBorder="1" applyAlignment="1">
      <alignment horizontal="right"/>
    </xf>
    <xf numFmtId="189" fontId="0" fillId="0" borderId="0" xfId="0" applyNumberFormat="1" applyBorder="1"/>
    <xf numFmtId="0" fontId="0" fillId="0" borderId="2" xfId="0" applyBorder="1" applyAlignment="1">
      <alignment horizontal="left" vertical="top" wrapText="1" indent="1"/>
    </xf>
    <xf numFmtId="189" fontId="0" fillId="0" borderId="0" xfId="0" applyNumberFormat="1"/>
    <xf numFmtId="0" fontId="0" fillId="0" borderId="0" xfId="0" applyFont="1" applyFill="1" applyBorder="1" applyAlignment="1">
      <alignment vertical="top"/>
    </xf>
    <xf numFmtId="189" fontId="0" fillId="0" borderId="53" xfId="0" applyNumberFormat="1" applyBorder="1"/>
    <xf numFmtId="187" fontId="0" fillId="0" borderId="0" xfId="0" applyNumberFormat="1" applyFont="1"/>
    <xf numFmtId="0" fontId="96" fillId="17" borderId="0" xfId="0" applyFont="1" applyFill="1"/>
    <xf numFmtId="0" fontId="3" fillId="17" borderId="0" xfId="0" applyFont="1" applyFill="1" applyAlignment="1">
      <alignment horizontal="center"/>
    </xf>
    <xf numFmtId="0" fontId="3" fillId="17" borderId="0" xfId="0" applyFont="1" applyFill="1" applyAlignment="1">
      <alignment horizontal="right"/>
    </xf>
    <xf numFmtId="187" fontId="0" fillId="0" borderId="53" xfId="0" applyNumberFormat="1" applyFont="1" applyBorder="1"/>
    <xf numFmtId="3" fontId="100" fillId="0" borderId="2" xfId="0" applyNumberFormat="1" applyFont="1" applyFill="1" applyBorder="1" applyAlignment="1">
      <alignment horizontal="center" vertical="top"/>
    </xf>
    <xf numFmtId="0" fontId="0" fillId="0" borderId="13" xfId="0" applyBorder="1" applyAlignment="1">
      <alignment horizontal="left" vertical="top" wrapText="1" indent="1"/>
    </xf>
    <xf numFmtId="189" fontId="0" fillId="0" borderId="0" xfId="0" applyNumberFormat="1" applyAlignment="1">
      <alignment horizontal="right"/>
    </xf>
    <xf numFmtId="189" fontId="0" fillId="0" borderId="0" xfId="0" applyNumberFormat="1" applyFont="1" applyFill="1"/>
    <xf numFmtId="0" fontId="0" fillId="0" borderId="53" xfId="0" applyFont="1" applyFill="1" applyBorder="1" applyAlignment="1">
      <alignment horizontal="left"/>
    </xf>
    <xf numFmtId="0" fontId="95" fillId="0" borderId="53" xfId="0" applyFont="1" applyFill="1" applyBorder="1"/>
    <xf numFmtId="189" fontId="75" fillId="0" borderId="53" xfId="0" applyNumberFormat="1" applyFont="1" applyFill="1" applyBorder="1"/>
    <xf numFmtId="164" fontId="6" fillId="17" borderId="2" xfId="0" applyNumberFormat="1" applyFont="1" applyFill="1" applyBorder="1" applyAlignment="1">
      <alignment horizontal="center"/>
    </xf>
    <xf numFmtId="186" fontId="0" fillId="0" borderId="0" xfId="0" applyNumberFormat="1" applyFont="1"/>
    <xf numFmtId="189" fontId="0" fillId="0" borderId="0" xfId="0" applyNumberFormat="1" applyFont="1"/>
    <xf numFmtId="0" fontId="0" fillId="0" borderId="53" xfId="0" applyFont="1" applyBorder="1" applyAlignment="1">
      <alignment horizontal="center"/>
    </xf>
    <xf numFmtId="193" fontId="6" fillId="17" borderId="2" xfId="0" applyNumberFormat="1" applyFont="1" applyFill="1" applyBorder="1" applyAlignment="1">
      <alignment horizontal="center"/>
    </xf>
    <xf numFmtId="0" fontId="0" fillId="0" borderId="0" xfId="0" applyFont="1" applyAlignment="1">
      <alignment horizontal="left"/>
    </xf>
    <xf numFmtId="3" fontId="6" fillId="0" borderId="53" xfId="0" applyNumberFormat="1" applyFont="1" applyFill="1" applyBorder="1" applyAlignment="1">
      <alignment horizontal="center"/>
    </xf>
    <xf numFmtId="0" fontId="0" fillId="0" borderId="53" xfId="0" applyFont="1" applyBorder="1" applyAlignment="1">
      <alignment horizontal="left" indent="1"/>
    </xf>
    <xf numFmtId="0" fontId="95" fillId="0" borderId="53" xfId="0" applyFont="1" applyBorder="1" applyAlignment="1">
      <alignment horizontal="left"/>
    </xf>
    <xf numFmtId="184" fontId="0" fillId="0" borderId="53" xfId="0" applyNumberFormat="1" applyBorder="1" applyAlignment="1">
      <alignment horizontal="right"/>
    </xf>
    <xf numFmtId="0" fontId="101" fillId="0" borderId="0" xfId="0" applyFont="1" applyAlignment="1">
      <alignment horizontal="left"/>
    </xf>
    <xf numFmtId="0" fontId="75" fillId="0" borderId="53" xfId="0" applyFont="1" applyBorder="1"/>
    <xf numFmtId="189" fontId="75" fillId="0" borderId="0" xfId="0" applyNumberFormat="1" applyFont="1" applyBorder="1"/>
    <xf numFmtId="0" fontId="0" fillId="0" borderId="53" xfId="0" applyBorder="1" applyAlignment="1"/>
    <xf numFmtId="0" fontId="0" fillId="0" borderId="53" xfId="0" applyBorder="1"/>
    <xf numFmtId="194" fontId="0" fillId="0" borderId="0" xfId="0" applyNumberFormat="1" applyFont="1"/>
    <xf numFmtId="0" fontId="95" fillId="17" borderId="0" xfId="0" applyFont="1" applyFill="1"/>
    <xf numFmtId="0" fontId="6" fillId="17" borderId="0" xfId="0" applyFont="1" applyFill="1" applyBorder="1" applyAlignment="1">
      <alignment horizontal="center"/>
    </xf>
    <xf numFmtId="0" fontId="95" fillId="17" borderId="0" xfId="0" applyFont="1" applyFill="1" applyAlignment="1">
      <alignment horizontal="left"/>
    </xf>
    <xf numFmtId="0" fontId="0" fillId="17" borderId="0" xfId="0" applyFill="1" applyAlignment="1">
      <alignment horizontal="right"/>
    </xf>
    <xf numFmtId="0" fontId="6" fillId="0" borderId="0" xfId="0" applyFont="1" applyFill="1"/>
    <xf numFmtId="166" fontId="6" fillId="17" borderId="2" xfId="0" applyNumberFormat="1" applyFont="1" applyFill="1" applyBorder="1" applyAlignment="1">
      <alignment horizontal="center"/>
    </xf>
    <xf numFmtId="0" fontId="74" fillId="0" borderId="0" xfId="0" applyFont="1" applyFill="1" applyBorder="1" applyAlignment="1">
      <alignment horizontal="center"/>
    </xf>
    <xf numFmtId="0" fontId="105" fillId="0" borderId="0" xfId="0" applyFont="1" applyFill="1" applyBorder="1" applyAlignment="1">
      <alignment horizontal="center"/>
    </xf>
    <xf numFmtId="4" fontId="74" fillId="0" borderId="0" xfId="0" applyNumberFormat="1" applyFont="1" applyFill="1" applyBorder="1" applyAlignment="1">
      <alignment horizontal="center"/>
    </xf>
    <xf numFmtId="195" fontId="74" fillId="0" borderId="0" xfId="0" applyNumberFormat="1" applyFont="1" applyFill="1" applyBorder="1" applyAlignment="1">
      <alignment horizontal="center"/>
    </xf>
    <xf numFmtId="0" fontId="104" fillId="0" borderId="0" xfId="0" applyFont="1"/>
    <xf numFmtId="0" fontId="103" fillId="0" borderId="0" xfId="0" applyFont="1"/>
    <xf numFmtId="196" fontId="106" fillId="7" borderId="2" xfId="0" applyNumberFormat="1" applyFont="1" applyFill="1" applyBorder="1" applyAlignment="1">
      <alignment horizontal="center"/>
    </xf>
    <xf numFmtId="0" fontId="107" fillId="0" borderId="13" xfId="0" applyFont="1" applyFill="1" applyBorder="1" applyAlignment="1">
      <alignment horizontal="center"/>
    </xf>
    <xf numFmtId="0" fontId="107" fillId="0" borderId="14" xfId="0" applyFont="1" applyFill="1" applyBorder="1" applyAlignment="1">
      <alignment horizontal="center"/>
    </xf>
    <xf numFmtId="0" fontId="107" fillId="0" borderId="15" xfId="0" applyFont="1" applyFill="1" applyBorder="1" applyAlignment="1">
      <alignment horizontal="center"/>
    </xf>
    <xf numFmtId="0" fontId="104" fillId="24" borderId="2" xfId="0" applyFont="1" applyFill="1" applyBorder="1" applyAlignment="1">
      <alignment horizontal="center"/>
    </xf>
    <xf numFmtId="3" fontId="104" fillId="24" borderId="14" xfId="0" applyNumberFormat="1" applyFont="1" applyFill="1" applyBorder="1" applyAlignment="1">
      <alignment horizontal="center"/>
    </xf>
    <xf numFmtId="0" fontId="103" fillId="0" borderId="17" xfId="0" applyFont="1" applyFill="1" applyBorder="1" applyAlignment="1">
      <alignment horizontal="center"/>
    </xf>
    <xf numFmtId="3" fontId="103" fillId="0" borderId="0" xfId="0" applyNumberFormat="1" applyFont="1" applyAlignment="1">
      <alignment horizontal="center"/>
    </xf>
    <xf numFmtId="0" fontId="103" fillId="14" borderId="17" xfId="0" applyFont="1" applyFill="1" applyBorder="1" applyAlignment="1">
      <alignment horizontal="center"/>
    </xf>
    <xf numFmtId="3" fontId="103" fillId="14" borderId="0" xfId="0" applyNumberFormat="1" applyFont="1" applyFill="1" applyAlignment="1">
      <alignment horizontal="center"/>
    </xf>
    <xf numFmtId="2" fontId="103" fillId="14" borderId="0" xfId="0" applyNumberFormat="1" applyFont="1" applyFill="1" applyAlignment="1">
      <alignment horizontal="center"/>
    </xf>
    <xf numFmtId="2" fontId="103" fillId="14" borderId="16" xfId="0" applyNumberFormat="1" applyFont="1" applyFill="1" applyBorder="1" applyAlignment="1">
      <alignment horizontal="center"/>
    </xf>
    <xf numFmtId="3" fontId="104" fillId="24" borderId="13" xfId="0" applyNumberFormat="1" applyFont="1" applyFill="1" applyBorder="1" applyAlignment="1">
      <alignment horizontal="center"/>
    </xf>
    <xf numFmtId="182" fontId="104" fillId="24" borderId="14" xfId="0" applyNumberFormat="1" applyFont="1" applyFill="1" applyBorder="1" applyAlignment="1">
      <alignment horizontal="center"/>
    </xf>
    <xf numFmtId="182" fontId="104" fillId="24" borderId="15" xfId="0" applyNumberFormat="1" applyFont="1" applyFill="1" applyBorder="1" applyAlignment="1">
      <alignment horizontal="center"/>
    </xf>
    <xf numFmtId="197" fontId="103" fillId="0" borderId="51" xfId="0" applyNumberFormat="1" applyFont="1" applyBorder="1" applyAlignment="1">
      <alignment horizontal="center"/>
    </xf>
    <xf numFmtId="197" fontId="103" fillId="0" borderId="4" xfId="0" applyNumberFormat="1" applyFont="1" applyBorder="1" applyAlignment="1">
      <alignment horizontal="center"/>
    </xf>
    <xf numFmtId="197" fontId="103" fillId="0" borderId="0" xfId="0" applyNumberFormat="1" applyFont="1" applyBorder="1" applyAlignment="1">
      <alignment horizontal="center"/>
    </xf>
    <xf numFmtId="197" fontId="103" fillId="0" borderId="16" xfId="0" applyNumberFormat="1" applyFont="1" applyBorder="1" applyAlignment="1">
      <alignment horizontal="center"/>
    </xf>
    <xf numFmtId="197" fontId="103" fillId="0" borderId="53" xfId="0" applyNumberFormat="1" applyFont="1" applyBorder="1" applyAlignment="1">
      <alignment horizontal="center"/>
    </xf>
    <xf numFmtId="197" fontId="103" fillId="0" borderId="6" xfId="0" applyNumberFormat="1" applyFont="1" applyBorder="1" applyAlignment="1">
      <alignment horizontal="center"/>
    </xf>
    <xf numFmtId="182" fontId="103" fillId="0" borderId="51" xfId="0" applyNumberFormat="1" applyFont="1" applyBorder="1" applyAlignment="1">
      <alignment horizontal="center"/>
    </xf>
    <xf numFmtId="182" fontId="103" fillId="0" borderId="4" xfId="0" applyNumberFormat="1" applyFont="1" applyBorder="1" applyAlignment="1">
      <alignment horizontal="center"/>
    </xf>
    <xf numFmtId="182" fontId="103" fillId="0" borderId="0" xfId="0" applyNumberFormat="1" applyFont="1" applyBorder="1" applyAlignment="1">
      <alignment horizontal="center"/>
    </xf>
    <xf numFmtId="182" fontId="103" fillId="0" borderId="16" xfId="0" applyNumberFormat="1" applyFont="1" applyBorder="1" applyAlignment="1">
      <alignment horizontal="center"/>
    </xf>
    <xf numFmtId="182" fontId="103" fillId="0" borderId="53" xfId="0" applyNumberFormat="1" applyFont="1" applyBorder="1" applyAlignment="1">
      <alignment horizontal="center"/>
    </xf>
    <xf numFmtId="182" fontId="103" fillId="0" borderId="6" xfId="0" applyNumberFormat="1" applyFont="1" applyBorder="1" applyAlignment="1">
      <alignment horizontal="center"/>
    </xf>
    <xf numFmtId="182" fontId="103" fillId="0" borderId="0" xfId="0" applyNumberFormat="1" applyFont="1" applyAlignment="1">
      <alignment horizontal="center"/>
    </xf>
    <xf numFmtId="169" fontId="103" fillId="14" borderId="0" xfId="0" applyNumberFormat="1" applyFont="1" applyFill="1" applyAlignment="1">
      <alignment horizontal="center"/>
    </xf>
    <xf numFmtId="169" fontId="103" fillId="14" borderId="16" xfId="0" applyNumberFormat="1" applyFont="1" applyFill="1" applyBorder="1" applyAlignment="1">
      <alignment horizontal="center"/>
    </xf>
    <xf numFmtId="3" fontId="103" fillId="0" borderId="3" xfId="0" applyNumberFormat="1" applyFont="1" applyBorder="1" applyAlignment="1">
      <alignment horizontal="center"/>
    </xf>
    <xf numFmtId="3" fontId="103" fillId="0" borderId="18" xfId="0" applyNumberFormat="1" applyFont="1" applyBorder="1" applyAlignment="1">
      <alignment horizontal="center"/>
    </xf>
    <xf numFmtId="3" fontId="103" fillId="0" borderId="5" xfId="0" applyNumberFormat="1" applyFont="1" applyBorder="1" applyAlignment="1">
      <alignment horizontal="center"/>
    </xf>
    <xf numFmtId="169" fontId="0" fillId="0" borderId="0" xfId="0" applyNumberFormat="1"/>
    <xf numFmtId="0" fontId="96" fillId="17" borderId="0" xfId="0" applyFont="1" applyFill="1" applyAlignment="1">
      <alignment horizontal="left"/>
    </xf>
    <xf numFmtId="189" fontId="0" fillId="0" borderId="0" xfId="0" applyNumberFormat="1" applyFont="1" applyBorder="1"/>
    <xf numFmtId="0" fontId="108" fillId="0" borderId="0" xfId="0" applyFont="1"/>
    <xf numFmtId="0" fontId="109" fillId="0" borderId="0" xfId="0" applyFont="1"/>
    <xf numFmtId="0" fontId="110" fillId="4" borderId="2" xfId="0" applyFont="1" applyFill="1" applyBorder="1" applyAlignment="1">
      <alignment horizontal="center" vertical="center"/>
    </xf>
    <xf numFmtId="0" fontId="110" fillId="4" borderId="2" xfId="0" applyFont="1" applyFill="1" applyBorder="1" applyAlignment="1">
      <alignment horizontal="center" vertical="center" wrapText="1"/>
    </xf>
    <xf numFmtId="0" fontId="111" fillId="4" borderId="2" xfId="0" applyFont="1" applyFill="1" applyBorder="1" applyAlignment="1">
      <alignment horizontal="center"/>
    </xf>
    <xf numFmtId="1" fontId="112" fillId="11" borderId="2" xfId="0" applyNumberFormat="1" applyFont="1" applyFill="1" applyBorder="1" applyAlignment="1">
      <alignment horizontal="center" vertical="center" wrapText="1"/>
    </xf>
    <xf numFmtId="182" fontId="113" fillId="0" borderId="2" xfId="19" applyNumberFormat="1" applyFont="1" applyFill="1" applyBorder="1" applyAlignment="1">
      <alignment horizontal="center" vertical="center" wrapText="1"/>
    </xf>
    <xf numFmtId="8" fontId="115" fillId="0" borderId="15" xfId="0" applyNumberFormat="1" applyFont="1" applyBorder="1" applyAlignment="1">
      <alignment horizontal="center" vertical="center" wrapText="1"/>
    </xf>
    <xf numFmtId="0" fontId="114" fillId="16" borderId="2" xfId="0" applyFont="1" applyFill="1" applyBorder="1" applyAlignment="1">
      <alignment vertical="center" wrapText="1"/>
    </xf>
    <xf numFmtId="6" fontId="115" fillId="0" borderId="2" xfId="0" applyNumberFormat="1" applyFont="1" applyBorder="1" applyAlignment="1">
      <alignment horizontal="center" vertical="center" wrapText="1"/>
    </xf>
    <xf numFmtId="0" fontId="111" fillId="4" borderId="14" xfId="0" applyFont="1" applyFill="1" applyBorder="1"/>
    <xf numFmtId="0" fontId="115" fillId="0" borderId="0" xfId="0" applyFont="1" applyBorder="1" applyAlignment="1">
      <alignment vertical="center" wrapText="1"/>
    </xf>
    <xf numFmtId="3" fontId="113" fillId="0" borderId="2" xfId="19" applyNumberFormat="1" applyFont="1" applyFill="1" applyBorder="1" applyAlignment="1">
      <alignment horizontal="center" vertical="center" wrapText="1"/>
    </xf>
    <xf numFmtId="1" fontId="0" fillId="0" borderId="0" xfId="0" applyNumberFormat="1"/>
    <xf numFmtId="6" fontId="0" fillId="0" borderId="0" xfId="0" applyNumberFormat="1" applyAlignment="1">
      <alignment horizontal="right"/>
    </xf>
    <xf numFmtId="8" fontId="0" fillId="0" borderId="0" xfId="0" applyNumberFormat="1" applyAlignment="1">
      <alignment horizontal="right"/>
    </xf>
    <xf numFmtId="194" fontId="0" fillId="0" borderId="53" xfId="0" applyNumberFormat="1" applyBorder="1"/>
    <xf numFmtId="199" fontId="0" fillId="0" borderId="0" xfId="0" applyNumberFormat="1"/>
    <xf numFmtId="198" fontId="0" fillId="0" borderId="53" xfId="0" applyNumberFormat="1" applyBorder="1"/>
    <xf numFmtId="199" fontId="0" fillId="0" borderId="0" xfId="0" applyNumberFormat="1" applyBorder="1"/>
    <xf numFmtId="199" fontId="0" fillId="0" borderId="53" xfId="0" applyNumberFormat="1" applyBorder="1"/>
    <xf numFmtId="0" fontId="75" fillId="0" borderId="0" xfId="0" applyFont="1" applyFill="1" applyBorder="1" applyAlignment="1">
      <alignment horizontal="center"/>
    </xf>
    <xf numFmtId="186" fontId="0" fillId="0" borderId="0" xfId="0" applyNumberFormat="1" applyBorder="1"/>
    <xf numFmtId="200" fontId="75" fillId="0" borderId="0" xfId="0" applyNumberFormat="1" applyFont="1" applyAlignment="1">
      <alignment horizontal="center"/>
    </xf>
    <xf numFmtId="200" fontId="6" fillId="7" borderId="0" xfId="0" applyNumberFormat="1" applyFont="1" applyFill="1" applyAlignment="1">
      <alignment horizontal="right"/>
    </xf>
    <xf numFmtId="201" fontId="75" fillId="0" borderId="0" xfId="0" applyNumberFormat="1" applyFont="1" applyAlignment="1">
      <alignment horizontal="center"/>
    </xf>
    <xf numFmtId="201" fontId="0" fillId="7" borderId="0" xfId="0" applyNumberFormat="1" applyFont="1" applyFill="1" applyAlignment="1">
      <alignment horizontal="right"/>
    </xf>
    <xf numFmtId="201" fontId="75" fillId="0" borderId="0" xfId="0" applyNumberFormat="1" applyFont="1" applyAlignment="1">
      <alignment horizontal="right"/>
    </xf>
    <xf numFmtId="202" fontId="0" fillId="0" borderId="0" xfId="0" applyNumberFormat="1"/>
    <xf numFmtId="202" fontId="75" fillId="0" borderId="0" xfId="0" applyNumberFormat="1" applyFont="1"/>
    <xf numFmtId="0" fontId="3" fillId="19" borderId="0" xfId="0" applyNumberFormat="1" applyFont="1" applyFill="1" applyAlignment="1">
      <alignment horizontal="right"/>
    </xf>
    <xf numFmtId="0" fontId="3" fillId="17" borderId="0" xfId="0" applyFont="1" applyFill="1"/>
    <xf numFmtId="9" fontId="75" fillId="17" borderId="2" xfId="0" applyNumberFormat="1" applyFont="1" applyFill="1" applyBorder="1" applyAlignment="1">
      <alignment horizontal="right"/>
    </xf>
    <xf numFmtId="2" fontId="0" fillId="17" borderId="0" xfId="0" applyNumberFormat="1" applyFont="1" applyFill="1"/>
    <xf numFmtId="8" fontId="0" fillId="0" borderId="0" xfId="0" applyNumberFormat="1"/>
    <xf numFmtId="0" fontId="89" fillId="0" borderId="0" xfId="0" applyFont="1" applyFill="1" applyBorder="1" applyAlignment="1">
      <alignment horizontal="left" vertical="top" wrapText="1"/>
    </xf>
    <xf numFmtId="0" fontId="0" fillId="0" borderId="2" xfId="0" applyFont="1" applyBorder="1" applyAlignment="1">
      <alignment horizontal="left" vertical="top" indent="1"/>
    </xf>
    <xf numFmtId="0" fontId="0" fillId="0" borderId="2" xfId="0" applyFont="1" applyBorder="1" applyAlignment="1">
      <alignment horizontal="left" vertical="top" wrapText="1" indent="1"/>
    </xf>
    <xf numFmtId="0" fontId="0" fillId="0" borderId="2" xfId="0" applyFont="1" applyBorder="1" applyAlignment="1">
      <alignment horizontal="left" vertical="top" wrapText="1"/>
    </xf>
    <xf numFmtId="0" fontId="0" fillId="0" borderId="12" xfId="0" applyFont="1" applyBorder="1" applyAlignment="1">
      <alignment horizontal="left" vertical="top" wrapText="1"/>
    </xf>
    <xf numFmtId="0" fontId="0" fillId="0" borderId="2" xfId="0" applyFont="1" applyBorder="1" applyAlignment="1">
      <alignment horizontal="center" vertical="top" wrapText="1"/>
    </xf>
    <xf numFmtId="0" fontId="0" fillId="0" borderId="0" xfId="0" applyAlignment="1">
      <alignment horizontal="left" vertical="top"/>
    </xf>
    <xf numFmtId="0" fontId="3" fillId="4" borderId="2" xfId="0" applyFont="1" applyFill="1" applyBorder="1" applyAlignment="1">
      <alignment horizontal="left" vertical="top"/>
    </xf>
    <xf numFmtId="0" fontId="0" fillId="0" borderId="0" xfId="0" applyFont="1" applyAlignment="1">
      <alignment horizontal="left" vertical="top"/>
    </xf>
    <xf numFmtId="0" fontId="0" fillId="0" borderId="51" xfId="0" applyFont="1" applyBorder="1" applyAlignment="1">
      <alignment horizontal="left" vertical="top" wrapText="1"/>
    </xf>
    <xf numFmtId="0" fontId="0" fillId="0" borderId="53" xfId="0" applyFont="1" applyBorder="1" applyAlignment="1">
      <alignment horizontal="left" vertical="top" wrapText="1"/>
    </xf>
    <xf numFmtId="0" fontId="0" fillId="0" borderId="2" xfId="0" applyFont="1" applyBorder="1" applyAlignment="1">
      <alignment horizontal="left" vertical="top" wrapText="1"/>
    </xf>
    <xf numFmtId="166" fontId="0" fillId="0" borderId="0" xfId="0" applyNumberFormat="1"/>
    <xf numFmtId="204" fontId="6" fillId="17" borderId="2" xfId="0" applyNumberFormat="1" applyFont="1" applyFill="1" applyBorder="1" applyAlignment="1">
      <alignment horizontal="center"/>
    </xf>
    <xf numFmtId="0" fontId="0" fillId="0" borderId="2" xfId="0" applyFont="1" applyBorder="1" applyAlignment="1">
      <alignment wrapText="1"/>
    </xf>
    <xf numFmtId="4" fontId="6" fillId="0" borderId="2" xfId="0" applyNumberFormat="1" applyFont="1" applyFill="1" applyBorder="1" applyAlignment="1">
      <alignment horizontal="center" vertical="top"/>
    </xf>
    <xf numFmtId="198" fontId="0" fillId="0" borderId="0" xfId="0" applyNumberFormat="1"/>
    <xf numFmtId="0" fontId="75" fillId="0" borderId="0" xfId="0" applyFont="1" applyFill="1" applyBorder="1"/>
    <xf numFmtId="0" fontId="96" fillId="0" borderId="0" xfId="0" applyFont="1" applyFill="1" applyBorder="1"/>
    <xf numFmtId="0" fontId="89" fillId="0" borderId="51" xfId="0" applyFont="1" applyFill="1" applyBorder="1" applyAlignment="1">
      <alignment vertical="top"/>
    </xf>
    <xf numFmtId="0" fontId="89" fillId="0" borderId="0" xfId="0" applyFont="1" applyFill="1" applyBorder="1" applyAlignment="1">
      <alignment vertical="top"/>
    </xf>
    <xf numFmtId="203" fontId="75" fillId="0" borderId="0" xfId="0" applyNumberFormat="1" applyFont="1" applyFill="1" applyBorder="1" applyAlignment="1">
      <alignment horizontal="right"/>
    </xf>
    <xf numFmtId="203" fontId="0" fillId="0" borderId="0" xfId="0" applyNumberFormat="1"/>
    <xf numFmtId="0" fontId="0" fillId="0" borderId="2" xfId="0" applyFont="1" applyBorder="1" applyAlignment="1">
      <alignment horizontal="left" vertical="top" wrapText="1"/>
    </xf>
    <xf numFmtId="0" fontId="83" fillId="0" borderId="0" xfId="0" applyFont="1" applyBorder="1" applyAlignment="1">
      <alignment vertical="top" wrapText="1"/>
    </xf>
    <xf numFmtId="0" fontId="83" fillId="0" borderId="0" xfId="0" applyFont="1" applyBorder="1" applyAlignment="1">
      <alignment horizontal="center" vertical="center" wrapText="1"/>
    </xf>
    <xf numFmtId="3" fontId="83" fillId="0" borderId="0" xfId="3" applyNumberFormat="1" applyFont="1" applyBorder="1" applyAlignment="1">
      <alignment horizontal="center" vertical="top" wrapText="1"/>
    </xf>
    <xf numFmtId="0" fontId="83" fillId="0" borderId="0" xfId="0" applyNumberFormat="1" applyFont="1" applyBorder="1" applyAlignment="1">
      <alignment horizontal="left" vertical="top" wrapText="1"/>
    </xf>
    <xf numFmtId="3" fontId="83" fillId="0" borderId="47" xfId="0" applyNumberFormat="1" applyFont="1" applyBorder="1" applyAlignment="1">
      <alignment horizontal="center" vertical="top" wrapText="1"/>
    </xf>
    <xf numFmtId="9" fontId="83" fillId="0" borderId="47" xfId="3" applyFont="1" applyBorder="1" applyAlignment="1">
      <alignment horizontal="left" wrapText="1"/>
    </xf>
    <xf numFmtId="9" fontId="83" fillId="0" borderId="47" xfId="3" applyFont="1" applyBorder="1" applyAlignment="1">
      <alignment horizontal="left" vertical="top" wrapText="1"/>
    </xf>
    <xf numFmtId="164" fontId="83" fillId="0" borderId="47" xfId="0" applyNumberFormat="1" applyFont="1" applyBorder="1" applyAlignment="1">
      <alignment horizontal="center" vertical="top" wrapText="1"/>
    </xf>
    <xf numFmtId="3" fontId="83" fillId="0" borderId="47" xfId="0" applyNumberFormat="1" applyFont="1" applyBorder="1" applyAlignment="1">
      <alignment horizontal="left" vertical="top" wrapText="1"/>
    </xf>
    <xf numFmtId="4" fontId="83" fillId="0" borderId="47" xfId="0" applyNumberFormat="1" applyFont="1" applyBorder="1" applyAlignment="1">
      <alignment horizontal="center" vertical="top" wrapText="1"/>
    </xf>
    <xf numFmtId="166" fontId="83" fillId="0" borderId="47" xfId="0" applyNumberFormat="1" applyFont="1" applyBorder="1" applyAlignment="1">
      <alignment horizontal="center" vertical="top" wrapText="1"/>
    </xf>
    <xf numFmtId="166" fontId="83" fillId="0" borderId="47" xfId="0" applyNumberFormat="1" applyFont="1" applyBorder="1" applyAlignment="1">
      <alignment horizontal="left" vertical="top" wrapText="1"/>
    </xf>
    <xf numFmtId="0" fontId="78" fillId="0" borderId="43" xfId="0" applyFont="1" applyBorder="1" applyAlignment="1">
      <alignment horizontal="center" vertical="top"/>
    </xf>
    <xf numFmtId="0" fontId="78" fillId="0" borderId="43" xfId="0" applyFont="1" applyBorder="1" applyAlignment="1">
      <alignment horizontal="left" vertical="top"/>
    </xf>
    <xf numFmtId="0" fontId="78" fillId="0" borderId="46" xfId="0" applyFont="1" applyBorder="1" applyAlignment="1">
      <alignment horizontal="left" vertical="top"/>
    </xf>
    <xf numFmtId="164" fontId="78" fillId="0" borderId="43" xfId="0" applyNumberFormat="1" applyFont="1" applyBorder="1" applyAlignment="1">
      <alignment horizontal="left" vertical="top" wrapText="1"/>
    </xf>
    <xf numFmtId="164" fontId="78" fillId="0" borderId="43" xfId="0" applyNumberFormat="1" applyFont="1" applyBorder="1" applyAlignment="1">
      <alignment horizontal="center" vertical="top"/>
    </xf>
    <xf numFmtId="0" fontId="118" fillId="0" borderId="47" xfId="0" applyFont="1" applyBorder="1" applyAlignment="1">
      <alignment vertical="center"/>
    </xf>
    <xf numFmtId="194" fontId="0" fillId="0" borderId="0" xfId="0" applyNumberFormat="1" applyBorder="1"/>
    <xf numFmtId="0" fontId="78" fillId="0" borderId="45" xfId="0" applyFont="1" applyBorder="1" applyAlignment="1">
      <alignment horizontal="left" vertical="top" wrapText="1"/>
    </xf>
    <xf numFmtId="164" fontId="83" fillId="0" borderId="47" xfId="0" applyNumberFormat="1" applyFont="1" applyBorder="1" applyAlignment="1">
      <alignment horizontal="left" vertical="top" wrapText="1"/>
    </xf>
    <xf numFmtId="0" fontId="83" fillId="0" borderId="47" xfId="0" applyFont="1" applyBorder="1" applyAlignment="1">
      <alignment horizontal="left" vertical="top" wrapText="1"/>
    </xf>
    <xf numFmtId="0" fontId="78" fillId="0" borderId="44" xfId="0" applyFont="1" applyBorder="1" applyAlignment="1">
      <alignment horizontal="left" vertical="top" wrapText="1"/>
    </xf>
    <xf numFmtId="0" fontId="0" fillId="0" borderId="2" xfId="0" applyFont="1" applyBorder="1" applyAlignment="1">
      <alignment horizontal="left" vertical="top" wrapText="1"/>
    </xf>
    <xf numFmtId="0" fontId="80" fillId="4" borderId="43" xfId="0" applyFont="1" applyFill="1" applyBorder="1" applyAlignment="1">
      <alignment horizontal="left" vertical="top"/>
    </xf>
    <xf numFmtId="0" fontId="83" fillId="0" borderId="47" xfId="0" applyFont="1" applyBorder="1" applyAlignment="1">
      <alignment horizontal="left" vertical="top" wrapText="1"/>
    </xf>
    <xf numFmtId="164" fontId="83" fillId="0" borderId="47" xfId="0" applyNumberFormat="1" applyFont="1" applyBorder="1" applyAlignment="1">
      <alignment horizontal="left" vertical="top" wrapText="1"/>
    </xf>
    <xf numFmtId="205" fontId="6" fillId="0" borderId="2" xfId="0" applyNumberFormat="1" applyFont="1" applyFill="1" applyBorder="1" applyAlignment="1">
      <alignment horizontal="center" vertical="top"/>
    </xf>
    <xf numFmtId="0" fontId="0" fillId="0" borderId="0" xfId="0" applyFont="1" applyBorder="1" applyAlignment="1">
      <alignment horizontal="left" vertical="top" wrapText="1" indent="1"/>
    </xf>
    <xf numFmtId="0" fontId="0" fillId="0" borderId="0" xfId="0" applyFont="1" applyBorder="1" applyAlignment="1">
      <alignment horizontal="center" vertical="top" wrapText="1"/>
    </xf>
    <xf numFmtId="205" fontId="6" fillId="0" borderId="0" xfId="0" applyNumberFormat="1" applyFont="1" applyFill="1" applyBorder="1" applyAlignment="1">
      <alignment horizontal="center" vertical="top"/>
    </xf>
    <xf numFmtId="0" fontId="0" fillId="0" borderId="0" xfId="0" applyFont="1" applyBorder="1" applyAlignment="1">
      <alignment horizontal="left" vertical="top" wrapText="1"/>
    </xf>
    <xf numFmtId="0" fontId="79" fillId="0" borderId="0" xfId="0" applyFont="1" applyFill="1" applyBorder="1" applyAlignment="1">
      <alignment horizontal="left" vertical="top"/>
    </xf>
    <xf numFmtId="0" fontId="78" fillId="0" borderId="0" xfId="0" applyFont="1" applyFill="1" applyBorder="1" applyAlignment="1">
      <alignment horizontal="left" vertical="top" wrapText="1"/>
    </xf>
    <xf numFmtId="0" fontId="118" fillId="0" borderId="0" xfId="0" applyFont="1" applyBorder="1" applyAlignment="1">
      <alignment horizontal="left" vertical="top" wrapText="1"/>
    </xf>
    <xf numFmtId="0" fontId="119" fillId="4" borderId="43" xfId="0" applyFont="1" applyFill="1" applyBorder="1" applyAlignment="1">
      <alignment horizontal="center" vertical="center" wrapText="1"/>
    </xf>
    <xf numFmtId="0" fontId="119" fillId="4" borderId="49" xfId="0" applyFont="1" applyFill="1" applyBorder="1" applyAlignment="1">
      <alignment horizontal="center" vertical="center" wrapText="1"/>
    </xf>
    <xf numFmtId="2" fontId="118" fillId="0" borderId="45" xfId="0" applyNumberFormat="1" applyFont="1" applyBorder="1" applyAlignment="1">
      <alignment horizontal="center" vertical="center"/>
    </xf>
    <xf numFmtId="10" fontId="118" fillId="0" borderId="54" xfId="0" applyNumberFormat="1" applyFont="1" applyBorder="1" applyAlignment="1">
      <alignment horizontal="center" vertical="center"/>
    </xf>
    <xf numFmtId="2" fontId="118" fillId="0" borderId="54" xfId="0" applyNumberFormat="1" applyFont="1" applyBorder="1" applyAlignment="1">
      <alignment horizontal="center" vertical="center"/>
    </xf>
    <xf numFmtId="0" fontId="118" fillId="0" borderId="0" xfId="0" applyFont="1" applyBorder="1" applyAlignment="1">
      <alignment vertical="center"/>
    </xf>
    <xf numFmtId="2" fontId="118" fillId="0" borderId="0" xfId="0" applyNumberFormat="1" applyFont="1" applyBorder="1" applyAlignment="1">
      <alignment horizontal="center" vertical="center"/>
    </xf>
    <xf numFmtId="0" fontId="118" fillId="0" borderId="43" xfId="0" applyFont="1" applyBorder="1" applyAlignment="1">
      <alignment vertical="top" wrapText="1"/>
    </xf>
    <xf numFmtId="0" fontId="118" fillId="16" borderId="49" xfId="0" applyFont="1" applyFill="1" applyBorder="1" applyAlignment="1">
      <alignment vertical="top" wrapText="1"/>
    </xf>
    <xf numFmtId="0" fontId="118" fillId="0" borderId="47" xfId="0" applyFont="1" applyBorder="1" applyAlignment="1">
      <alignment vertical="top" wrapText="1"/>
    </xf>
    <xf numFmtId="0" fontId="118" fillId="16" borderId="45" xfId="0" applyFont="1" applyFill="1" applyBorder="1" applyAlignment="1">
      <alignment vertical="top" wrapText="1"/>
    </xf>
    <xf numFmtId="0" fontId="118" fillId="0" borderId="43" xfId="0" applyFont="1" applyBorder="1" applyAlignment="1">
      <alignment horizontal="left" vertical="top" wrapText="1"/>
    </xf>
    <xf numFmtId="0" fontId="118" fillId="16" borderId="49" xfId="0" applyFont="1" applyFill="1" applyBorder="1" applyAlignment="1">
      <alignment horizontal="left" vertical="top" wrapText="1"/>
    </xf>
    <xf numFmtId="0" fontId="118" fillId="0" borderId="47" xfId="0" applyFont="1" applyBorder="1" applyAlignment="1">
      <alignment horizontal="left" vertical="top" wrapText="1"/>
    </xf>
    <xf numFmtId="0" fontId="118" fillId="16" borderId="45" xfId="0" applyFont="1" applyFill="1" applyBorder="1" applyAlignment="1">
      <alignment horizontal="left" vertical="top" wrapText="1"/>
    </xf>
    <xf numFmtId="0" fontId="119" fillId="4" borderId="43" xfId="0" applyFont="1" applyFill="1" applyBorder="1" applyAlignment="1">
      <alignment vertical="center" wrapText="1"/>
    </xf>
    <xf numFmtId="0" fontId="120" fillId="0" borderId="47" xfId="0" applyFont="1" applyFill="1" applyBorder="1" applyAlignment="1">
      <alignment vertical="center" wrapText="1"/>
    </xf>
    <xf numFmtId="0" fontId="119" fillId="4" borderId="43" xfId="0" applyFont="1" applyFill="1" applyBorder="1" applyAlignment="1">
      <alignment vertical="center"/>
    </xf>
    <xf numFmtId="0" fontId="79" fillId="0" borderId="44" xfId="0" applyFont="1" applyBorder="1" applyAlignment="1">
      <alignment vertical="top"/>
    </xf>
    <xf numFmtId="0" fontId="118" fillId="16" borderId="49" xfId="0" applyFont="1" applyFill="1" applyBorder="1" applyAlignment="1">
      <alignment horizontal="center" vertical="center" wrapText="1"/>
    </xf>
    <xf numFmtId="0" fontId="118" fillId="16" borderId="45" xfId="0" applyFont="1" applyFill="1" applyBorder="1" applyAlignment="1">
      <alignment horizontal="center" vertical="center" wrapText="1"/>
    </xf>
    <xf numFmtId="0" fontId="118" fillId="0" borderId="44" xfId="0" applyFont="1" applyBorder="1" applyAlignment="1">
      <alignment horizontal="left" vertical="top" wrapText="1"/>
    </xf>
    <xf numFmtId="0" fontId="118" fillId="0" borderId="47" xfId="0" applyFont="1" applyBorder="1" applyAlignment="1">
      <alignment horizontal="left" vertical="top" wrapText="1"/>
    </xf>
    <xf numFmtId="0" fontId="79" fillId="0" borderId="43" xfId="0" applyFont="1" applyBorder="1" applyAlignment="1">
      <alignment vertical="top" wrapText="1"/>
    </xf>
    <xf numFmtId="0" fontId="0" fillId="0" borderId="2" xfId="0" applyFont="1" applyBorder="1" applyAlignment="1">
      <alignment vertical="top" wrapText="1"/>
    </xf>
    <xf numFmtId="3" fontId="83" fillId="0" borderId="55" xfId="0" applyNumberFormat="1" applyFont="1" applyBorder="1" applyAlignment="1">
      <alignment horizontal="center" vertical="top" wrapText="1"/>
    </xf>
    <xf numFmtId="164" fontId="0" fillId="0" borderId="2" xfId="0" applyNumberFormat="1" applyFont="1" applyFill="1" applyBorder="1" applyAlignment="1">
      <alignment horizontal="center" vertical="top"/>
    </xf>
    <xf numFmtId="0" fontId="77" fillId="4" borderId="43" xfId="0" applyFont="1" applyFill="1" applyBorder="1" applyAlignment="1">
      <alignment horizontal="left" vertical="top" wrapText="1"/>
    </xf>
    <xf numFmtId="0" fontId="78" fillId="0" borderId="45" xfId="0" applyFont="1" applyFill="1" applyBorder="1" applyAlignment="1">
      <alignment horizontal="center" vertical="center" wrapText="1"/>
    </xf>
    <xf numFmtId="189" fontId="83" fillId="0" borderId="45" xfId="1" applyNumberFormat="1" applyFont="1" applyBorder="1" applyAlignment="1">
      <alignment horizontal="center" vertical="center" wrapText="1"/>
    </xf>
    <xf numFmtId="3" fontId="0" fillId="17" borderId="2" xfId="0" applyNumberFormat="1" applyFont="1" applyFill="1" applyBorder="1" applyAlignment="1">
      <alignment horizontal="center"/>
    </xf>
    <xf numFmtId="9" fontId="0" fillId="17" borderId="12" xfId="0" applyNumberFormat="1" applyFont="1" applyFill="1" applyBorder="1" applyAlignment="1">
      <alignment horizontal="center"/>
    </xf>
    <xf numFmtId="9" fontId="0" fillId="17" borderId="2" xfId="0" applyNumberFormat="1" applyFont="1" applyFill="1" applyBorder="1" applyAlignment="1">
      <alignment horizontal="center"/>
    </xf>
    <xf numFmtId="0" fontId="0" fillId="0" borderId="53" xfId="0" applyFont="1" applyFill="1" applyBorder="1"/>
    <xf numFmtId="0" fontId="0" fillId="0" borderId="0" xfId="0" applyFont="1" applyBorder="1"/>
    <xf numFmtId="4" fontId="0" fillId="0" borderId="0" xfId="0" applyNumberFormat="1" applyBorder="1" applyAlignment="1">
      <alignment horizontal="center" vertical="center"/>
    </xf>
    <xf numFmtId="0" fontId="0" fillId="0" borderId="0" xfId="0" applyFill="1" applyBorder="1"/>
    <xf numFmtId="166" fontId="0" fillId="0" borderId="0" xfId="0" applyNumberFormat="1" applyBorder="1" applyAlignment="1">
      <alignment horizontal="center" vertical="center"/>
    </xf>
    <xf numFmtId="202" fontId="75" fillId="6" borderId="0" xfId="0" applyNumberFormat="1" applyFont="1" applyFill="1"/>
    <xf numFmtId="207" fontId="75" fillId="0" borderId="0" xfId="0" applyNumberFormat="1" applyFont="1" applyBorder="1" applyAlignment="1">
      <alignment horizontal="right" vertical="center"/>
    </xf>
    <xf numFmtId="207" fontId="75" fillId="0" borderId="0" xfId="0" applyNumberFormat="1" applyFont="1" applyFill="1" applyBorder="1" applyAlignment="1">
      <alignment horizontal="right" vertical="center"/>
    </xf>
    <xf numFmtId="192" fontId="0" fillId="0" borderId="0" xfId="0" applyNumberFormat="1" applyFill="1" applyBorder="1" applyAlignment="1">
      <alignment horizontal="center" vertical="center"/>
    </xf>
    <xf numFmtId="0" fontId="121" fillId="0" borderId="0" xfId="0" applyFont="1" applyFill="1" applyBorder="1"/>
    <xf numFmtId="9" fontId="0" fillId="0" borderId="0" xfId="3" applyFont="1" applyFill="1"/>
    <xf numFmtId="10" fontId="0" fillId="0" borderId="2" xfId="3" applyNumberFormat="1" applyFont="1" applyFill="1" applyBorder="1" applyAlignment="1">
      <alignment horizontal="left"/>
    </xf>
    <xf numFmtId="164" fontId="0" fillId="0" borderId="0" xfId="0" applyNumberFormat="1" applyFont="1" applyFill="1"/>
    <xf numFmtId="170" fontId="0" fillId="0" borderId="0" xfId="0" applyNumberFormat="1" applyFont="1" applyFill="1"/>
    <xf numFmtId="169" fontId="0" fillId="0" borderId="2" xfId="0" applyNumberFormat="1" applyFont="1" applyFill="1" applyBorder="1" applyAlignment="1">
      <alignment horizontal="left" vertical="top"/>
    </xf>
    <xf numFmtId="207" fontId="0" fillId="0" borderId="2" xfId="0" applyNumberFormat="1" applyBorder="1" applyAlignment="1">
      <alignment horizontal="left" vertical="top"/>
    </xf>
    <xf numFmtId="10" fontId="0" fillId="0" borderId="2" xfId="3" applyNumberFormat="1" applyFont="1" applyFill="1" applyBorder="1" applyAlignment="1">
      <alignment horizontal="left" vertical="top"/>
    </xf>
    <xf numFmtId="0" fontId="0" fillId="0" borderId="2" xfId="0" applyFont="1" applyFill="1" applyBorder="1" applyAlignment="1">
      <alignment horizontal="left" vertical="top"/>
    </xf>
    <xf numFmtId="0" fontId="106" fillId="0" borderId="2" xfId="0" applyFont="1" applyFill="1" applyBorder="1" applyAlignment="1">
      <alignment horizontal="left" vertical="top" wrapText="1"/>
    </xf>
    <xf numFmtId="3" fontId="0" fillId="0" borderId="2" xfId="0" applyNumberFormat="1" applyFont="1" applyFill="1" applyBorder="1" applyAlignment="1">
      <alignment horizontal="left" vertical="top"/>
    </xf>
    <xf numFmtId="0" fontId="0" fillId="0" borderId="2" xfId="0" applyFont="1" applyFill="1" applyBorder="1" applyAlignment="1">
      <alignment horizontal="left" vertical="top"/>
    </xf>
    <xf numFmtId="207" fontId="75" fillId="0" borderId="0" xfId="0" applyNumberFormat="1" applyFont="1" applyFill="1" applyBorder="1" applyAlignment="1">
      <alignment horizontal="left" vertical="top"/>
    </xf>
    <xf numFmtId="169" fontId="75" fillId="0" borderId="0" xfId="0" applyNumberFormat="1" applyFont="1" applyFill="1" applyBorder="1" applyAlignment="1">
      <alignment horizontal="left" vertical="top"/>
    </xf>
    <xf numFmtId="0" fontId="107" fillId="0" borderId="0" xfId="0" applyFont="1" applyFill="1" applyBorder="1" applyAlignment="1">
      <alignment horizontal="left" vertical="top"/>
    </xf>
    <xf numFmtId="164" fontId="75" fillId="0" borderId="0" xfId="2" applyNumberFormat="1" applyFont="1" applyFill="1" applyBorder="1" applyAlignment="1">
      <alignment horizontal="left" vertical="top"/>
    </xf>
    <xf numFmtId="203" fontId="75" fillId="6" borderId="0" xfId="0" applyNumberFormat="1" applyFont="1" applyFill="1" applyBorder="1" applyAlignment="1">
      <alignment horizontal="left" vertical="top"/>
    </xf>
    <xf numFmtId="203" fontId="75" fillId="0" borderId="0" xfId="0" applyNumberFormat="1" applyFont="1" applyFill="1" applyBorder="1" applyAlignment="1">
      <alignment horizontal="left" vertical="top"/>
    </xf>
    <xf numFmtId="203" fontId="75" fillId="0" borderId="0" xfId="2" applyNumberFormat="1" applyFont="1" applyFill="1" applyBorder="1" applyAlignment="1">
      <alignment horizontal="left" vertical="top"/>
    </xf>
    <xf numFmtId="203" fontId="0" fillId="0" borderId="2" xfId="0" applyNumberFormat="1" applyBorder="1" applyAlignment="1">
      <alignment horizontal="left" vertical="top"/>
    </xf>
    <xf numFmtId="187" fontId="75" fillId="6" borderId="0" xfId="0" applyNumberFormat="1" applyFont="1" applyFill="1"/>
    <xf numFmtId="199" fontId="0" fillId="0" borderId="0" xfId="0" applyNumberFormat="1" applyFont="1"/>
    <xf numFmtId="0" fontId="0" fillId="0" borderId="0" xfId="0" applyFont="1" applyFill="1" applyBorder="1" applyAlignment="1">
      <alignment horizontal="center"/>
    </xf>
    <xf numFmtId="186" fontId="75" fillId="6" borderId="0" xfId="0" applyNumberFormat="1" applyFont="1" applyFill="1"/>
    <xf numFmtId="188" fontId="0" fillId="0" borderId="2" xfId="0" applyNumberFormat="1" applyBorder="1" applyAlignment="1">
      <alignment horizontal="left" vertical="center"/>
    </xf>
    <xf numFmtId="188" fontId="0" fillId="0" borderId="2" xfId="0" applyNumberFormat="1" applyBorder="1" applyAlignment="1">
      <alignment horizontal="left" vertical="top"/>
    </xf>
    <xf numFmtId="206" fontId="0" fillId="0" borderId="2" xfId="0" applyNumberFormat="1" applyBorder="1" applyAlignment="1">
      <alignment horizontal="left" vertical="top"/>
    </xf>
    <xf numFmtId="3" fontId="6" fillId="0" borderId="2" xfId="0" applyNumberFormat="1" applyFont="1" applyBorder="1" applyAlignment="1">
      <alignment horizontal="left" vertical="center"/>
    </xf>
    <xf numFmtId="3" fontId="6" fillId="0" borderId="2" xfId="0" applyNumberFormat="1" applyFont="1" applyFill="1" applyBorder="1" applyAlignment="1">
      <alignment horizontal="left" vertical="center"/>
    </xf>
    <xf numFmtId="10" fontId="6" fillId="0" borderId="2" xfId="0" applyNumberFormat="1" applyFont="1" applyBorder="1" applyAlignment="1">
      <alignment horizontal="left" vertical="center"/>
    </xf>
    <xf numFmtId="10" fontId="6" fillId="0" borderId="2" xfId="0" applyNumberFormat="1" applyFont="1" applyFill="1" applyBorder="1" applyAlignment="1">
      <alignment horizontal="left" vertical="center"/>
    </xf>
    <xf numFmtId="184" fontId="0" fillId="0" borderId="2" xfId="0" applyNumberFormat="1" applyFont="1" applyFill="1" applyBorder="1" applyAlignment="1">
      <alignment horizontal="left" vertical="center"/>
    </xf>
    <xf numFmtId="3" fontId="6" fillId="0" borderId="2" xfId="0" applyNumberFormat="1" applyFont="1" applyBorder="1" applyAlignment="1">
      <alignment horizontal="left" vertical="top"/>
    </xf>
    <xf numFmtId="3" fontId="6" fillId="0" borderId="2" xfId="0" applyNumberFormat="1" applyFont="1" applyFill="1" applyBorder="1" applyAlignment="1">
      <alignment horizontal="left" vertical="top"/>
    </xf>
    <xf numFmtId="10" fontId="6" fillId="0" borderId="2" xfId="0" applyNumberFormat="1" applyFont="1" applyBorder="1" applyAlignment="1">
      <alignment horizontal="left" vertical="top"/>
    </xf>
    <xf numFmtId="10" fontId="6" fillId="0" borderId="2" xfId="0" applyNumberFormat="1" applyFont="1" applyFill="1" applyBorder="1" applyAlignment="1">
      <alignment horizontal="left" vertical="top"/>
    </xf>
    <xf numFmtId="184" fontId="0" fillId="0" borderId="2" xfId="0" applyNumberFormat="1" applyBorder="1" applyAlignment="1">
      <alignment horizontal="left" vertical="top"/>
    </xf>
    <xf numFmtId="184" fontId="6" fillId="0" borderId="2" xfId="0" applyNumberFormat="1" applyFont="1" applyBorder="1" applyAlignment="1">
      <alignment horizontal="left" vertical="top"/>
    </xf>
    <xf numFmtId="184" fontId="0" fillId="0" borderId="2" xfId="0" applyNumberFormat="1" applyFont="1" applyFill="1" applyBorder="1" applyAlignment="1">
      <alignment horizontal="left" vertical="top"/>
    </xf>
    <xf numFmtId="203" fontId="0" fillId="0" borderId="2" xfId="0" applyNumberFormat="1" applyFont="1" applyFill="1" applyBorder="1" applyAlignment="1">
      <alignment horizontal="left" vertical="top"/>
    </xf>
    <xf numFmtId="207" fontId="75" fillId="0" borderId="0" xfId="0" applyNumberFormat="1" applyFont="1" applyBorder="1" applyAlignment="1">
      <alignment horizontal="left" vertical="top"/>
    </xf>
    <xf numFmtId="3" fontId="0" fillId="0" borderId="2" xfId="0" applyNumberFormat="1" applyFont="1" applyBorder="1" applyAlignment="1">
      <alignment horizontal="left" vertical="top"/>
    </xf>
    <xf numFmtId="10" fontId="0" fillId="0" borderId="2" xfId="3" applyNumberFormat="1" applyFont="1" applyBorder="1" applyAlignment="1">
      <alignment horizontal="left" vertical="top"/>
    </xf>
    <xf numFmtId="184" fontId="6" fillId="0" borderId="2" xfId="0" applyNumberFormat="1" applyFont="1" applyFill="1" applyBorder="1" applyAlignment="1">
      <alignment horizontal="left" vertical="top"/>
    </xf>
    <xf numFmtId="164" fontId="0" fillId="0" borderId="2" xfId="0" applyNumberFormat="1" applyBorder="1" applyAlignment="1">
      <alignment horizontal="left" vertical="center"/>
    </xf>
    <xf numFmtId="184" fontId="0" fillId="0" borderId="2" xfId="0" applyNumberFormat="1" applyFont="1" applyBorder="1" applyAlignment="1">
      <alignment horizontal="left" vertical="center"/>
    </xf>
    <xf numFmtId="188" fontId="75" fillId="0" borderId="0" xfId="0" applyNumberFormat="1" applyFont="1" applyBorder="1" applyAlignment="1">
      <alignment horizontal="left" vertical="center"/>
    </xf>
    <xf numFmtId="188" fontId="75" fillId="0" borderId="0" xfId="0" applyNumberFormat="1" applyFont="1" applyFill="1" applyBorder="1" applyAlignment="1">
      <alignment horizontal="left" vertical="center"/>
    </xf>
    <xf numFmtId="188" fontId="75" fillId="0" borderId="0" xfId="0" applyNumberFormat="1" applyFont="1" applyBorder="1" applyAlignment="1">
      <alignment horizontal="left" vertical="top"/>
    </xf>
    <xf numFmtId="188" fontId="75" fillId="0" borderId="0" xfId="0" applyNumberFormat="1" applyFont="1" applyFill="1" applyBorder="1" applyAlignment="1">
      <alignment horizontal="left" vertical="top"/>
    </xf>
    <xf numFmtId="186" fontId="75" fillId="0" borderId="0" xfId="0" applyNumberFormat="1" applyFont="1" applyFill="1" applyBorder="1" applyAlignment="1">
      <alignment horizontal="left" vertical="top"/>
    </xf>
    <xf numFmtId="186" fontId="75" fillId="6" borderId="0" xfId="0" applyNumberFormat="1" applyFont="1" applyFill="1" applyBorder="1" applyAlignment="1">
      <alignment horizontal="left" vertical="top"/>
    </xf>
    <xf numFmtId="186" fontId="75" fillId="0" borderId="0" xfId="2" applyNumberFormat="1" applyFont="1" applyFill="1" applyBorder="1" applyAlignment="1">
      <alignment horizontal="left" vertical="top"/>
    </xf>
    <xf numFmtId="0" fontId="0" fillId="0" borderId="41" xfId="0" applyBorder="1" applyAlignment="1">
      <alignment horizontal="left" indent="1"/>
    </xf>
    <xf numFmtId="0" fontId="0" fillId="0" borderId="41" xfId="0" applyBorder="1" applyAlignment="1">
      <alignment horizontal="left"/>
    </xf>
    <xf numFmtId="187" fontId="75" fillId="0" borderId="0" xfId="0" applyNumberFormat="1" applyFont="1" applyAlignment="1">
      <alignment horizontal="right"/>
    </xf>
    <xf numFmtId="0" fontId="3" fillId="4" borderId="58" xfId="0" applyFont="1" applyFill="1" applyBorder="1" applyAlignment="1">
      <alignment horizontal="left"/>
    </xf>
    <xf numFmtId="0" fontId="3" fillId="4" borderId="59" xfId="0" applyFont="1" applyFill="1" applyBorder="1" applyAlignment="1">
      <alignment horizontal="right"/>
    </xf>
    <xf numFmtId="0" fontId="0" fillId="0" borderId="56" xfId="0" applyBorder="1" applyAlignment="1">
      <alignment horizontal="left" indent="1"/>
    </xf>
    <xf numFmtId="0" fontId="96" fillId="17" borderId="13" xfId="0" applyFont="1" applyFill="1" applyBorder="1" applyAlignment="1"/>
    <xf numFmtId="0" fontId="96" fillId="17" borderId="14" xfId="0" applyFont="1" applyFill="1" applyBorder="1" applyAlignment="1"/>
    <xf numFmtId="0" fontId="96" fillId="17" borderId="15" xfId="0" applyFont="1" applyFill="1" applyBorder="1" applyAlignment="1"/>
    <xf numFmtId="0" fontId="3" fillId="4" borderId="60" xfId="0" applyFont="1" applyFill="1" applyBorder="1" applyAlignment="1">
      <alignment horizontal="right"/>
    </xf>
    <xf numFmtId="0" fontId="118" fillId="0" borderId="47" xfId="0" applyFont="1" applyBorder="1" applyAlignment="1">
      <alignment horizontal="left" vertical="top" wrapText="1"/>
    </xf>
    <xf numFmtId="0" fontId="0" fillId="0" borderId="11" xfId="0" applyFont="1" applyBorder="1" applyAlignment="1">
      <alignment horizontal="left" vertical="top" wrapText="1"/>
    </xf>
    <xf numFmtId="208" fontId="0" fillId="0" borderId="2" xfId="0" applyNumberFormat="1" applyBorder="1" applyAlignment="1">
      <alignment horizontal="left" vertical="top"/>
    </xf>
    <xf numFmtId="1" fontId="0" fillId="0" borderId="2" xfId="0" applyNumberFormat="1" applyFont="1" applyFill="1" applyBorder="1" applyAlignment="1">
      <alignment horizontal="left" vertical="top"/>
    </xf>
    <xf numFmtId="3" fontId="83" fillId="0" borderId="43" xfId="0" applyNumberFormat="1" applyFont="1" applyBorder="1" applyAlignment="1">
      <alignment horizontal="left" vertical="top" wrapText="1"/>
    </xf>
    <xf numFmtId="0" fontId="3" fillId="4" borderId="63" xfId="0" applyFont="1" applyFill="1" applyBorder="1" applyAlignment="1">
      <alignment horizontal="center"/>
    </xf>
    <xf numFmtId="2" fontId="75" fillId="7" borderId="42" xfId="0" applyNumberFormat="1" applyFont="1" applyFill="1" applyBorder="1"/>
    <xf numFmtId="201" fontId="118" fillId="0" borderId="45" xfId="0" applyNumberFormat="1" applyFont="1" applyBorder="1" applyAlignment="1">
      <alignment horizontal="center" vertical="center"/>
    </xf>
    <xf numFmtId="0" fontId="118" fillId="0" borderId="47" xfId="0" applyFont="1" applyBorder="1" applyAlignment="1">
      <alignment horizontal="left" vertical="top" wrapText="1"/>
    </xf>
    <xf numFmtId="0" fontId="118" fillId="0" borderId="47" xfId="0" applyFont="1" applyBorder="1" applyAlignment="1">
      <alignment horizontal="left" vertical="top" wrapText="1"/>
    </xf>
    <xf numFmtId="0" fontId="79" fillId="0" borderId="44" xfId="0" applyFont="1" applyBorder="1" applyAlignment="1">
      <alignment vertical="top"/>
    </xf>
    <xf numFmtId="0" fontId="83" fillId="0" borderId="47" xfId="0" applyFont="1" applyBorder="1" applyAlignment="1">
      <alignment horizontal="left" vertical="top" wrapText="1"/>
    </xf>
    <xf numFmtId="0" fontId="119" fillId="4" borderId="43" xfId="0" applyFont="1" applyFill="1" applyBorder="1" applyAlignment="1">
      <alignment horizontal="left" vertical="top" wrapText="1"/>
    </xf>
    <xf numFmtId="1" fontId="124" fillId="16" borderId="2" xfId="0" applyNumberFormat="1" applyFont="1" applyFill="1" applyBorder="1" applyAlignment="1">
      <alignment horizontal="center" vertical="center" wrapText="1"/>
    </xf>
    <xf numFmtId="209" fontId="78" fillId="0" borderId="43" xfId="0" applyNumberFormat="1" applyFont="1" applyFill="1" applyBorder="1" applyAlignment="1">
      <alignment horizontal="center" vertical="center" wrapText="1"/>
    </xf>
    <xf numFmtId="209" fontId="79" fillId="0" borderId="43" xfId="0" applyNumberFormat="1" applyFont="1" applyFill="1" applyBorder="1" applyAlignment="1">
      <alignment horizontal="center" vertical="center" wrapText="1"/>
    </xf>
    <xf numFmtId="209" fontId="119" fillId="4" borderId="43" xfId="0" applyNumberFormat="1" applyFont="1" applyFill="1" applyBorder="1" applyAlignment="1">
      <alignment horizontal="center" vertical="center"/>
    </xf>
    <xf numFmtId="210" fontId="79" fillId="0" borderId="43" xfId="0" applyNumberFormat="1" applyFont="1" applyFill="1" applyBorder="1" applyAlignment="1">
      <alignment horizontal="center" vertical="center" wrapText="1"/>
    </xf>
    <xf numFmtId="210" fontId="80" fillId="4" borderId="43" xfId="0" applyNumberFormat="1" applyFont="1" applyFill="1" applyBorder="1" applyAlignment="1">
      <alignment horizontal="center" vertical="center" wrapText="1"/>
    </xf>
    <xf numFmtId="211" fontId="118" fillId="0" borderId="45" xfId="0" applyNumberFormat="1" applyFont="1" applyBorder="1" applyAlignment="1">
      <alignment horizontal="center" vertical="center"/>
    </xf>
    <xf numFmtId="211" fontId="125" fillId="0" borderId="45" xfId="0" applyNumberFormat="1" applyFont="1" applyBorder="1" applyAlignment="1">
      <alignment horizontal="center" vertical="center"/>
    </xf>
    <xf numFmtId="2" fontId="125" fillId="0" borderId="45" xfId="0" applyNumberFormat="1" applyFont="1" applyBorder="1" applyAlignment="1">
      <alignment horizontal="center" vertical="center"/>
    </xf>
    <xf numFmtId="212" fontId="78" fillId="0" borderId="43" xfId="0" applyNumberFormat="1" applyFont="1" applyFill="1" applyBorder="1" applyAlignment="1">
      <alignment horizontal="center" vertical="center" wrapText="1"/>
    </xf>
    <xf numFmtId="212" fontId="80" fillId="4" borderId="43" xfId="0" applyNumberFormat="1" applyFont="1" applyFill="1" applyBorder="1" applyAlignment="1">
      <alignment horizontal="center" vertical="center" wrapText="1"/>
    </xf>
    <xf numFmtId="210" fontId="79" fillId="0" borderId="47" xfId="0" applyNumberFormat="1" applyFont="1" applyFill="1" applyBorder="1" applyAlignment="1">
      <alignment horizontal="center" vertical="center" wrapText="1"/>
    </xf>
    <xf numFmtId="174" fontId="118" fillId="0" borderId="54" xfId="0" applyNumberFormat="1" applyFont="1" applyBorder="1" applyAlignment="1">
      <alignment horizontal="center" vertical="center"/>
    </xf>
    <xf numFmtId="0" fontId="125" fillId="0" borderId="47" xfId="0" applyFont="1" applyBorder="1" applyAlignment="1">
      <alignment vertical="center"/>
    </xf>
    <xf numFmtId="213" fontId="75" fillId="0" borderId="0" xfId="0" applyNumberFormat="1" applyFont="1" applyAlignment="1">
      <alignment horizontal="center"/>
    </xf>
    <xf numFmtId="165" fontId="75" fillId="0" borderId="0" xfId="3" applyNumberFormat="1" applyFont="1" applyAlignment="1">
      <alignment horizontal="center"/>
    </xf>
    <xf numFmtId="2" fontId="75" fillId="0" borderId="0" xfId="0" applyNumberFormat="1" applyFont="1" applyAlignment="1">
      <alignment horizontal="center"/>
    </xf>
    <xf numFmtId="0" fontId="77" fillId="4" borderId="68" xfId="0" applyFont="1" applyFill="1" applyBorder="1" applyAlignment="1">
      <alignment horizontal="center" vertical="center" wrapText="1"/>
    </xf>
    <xf numFmtId="0" fontId="77" fillId="4" borderId="44" xfId="0" applyFont="1" applyFill="1" applyBorder="1" applyAlignment="1">
      <alignment horizontal="center" vertical="center" wrapText="1"/>
    </xf>
    <xf numFmtId="0" fontId="78" fillId="0" borderId="44" xfId="0" applyFont="1" applyBorder="1" applyAlignment="1">
      <alignment vertical="top" wrapText="1"/>
    </xf>
    <xf numFmtId="165" fontId="78" fillId="0" borderId="49" xfId="3" applyNumberFormat="1" applyFont="1" applyBorder="1" applyAlignment="1">
      <alignment horizontal="center" vertical="center" wrapText="1"/>
    </xf>
    <xf numFmtId="174" fontId="78" fillId="0" borderId="44" xfId="0" applyNumberFormat="1" applyFont="1" applyBorder="1" applyAlignment="1">
      <alignment horizontal="center" vertical="center" wrapText="1"/>
    </xf>
    <xf numFmtId="0" fontId="78" fillId="0" borderId="43" xfId="0" quotePrefix="1" applyFont="1" applyBorder="1" applyAlignment="1">
      <alignment vertical="top" wrapText="1"/>
    </xf>
    <xf numFmtId="174" fontId="78" fillId="0" borderId="43" xfId="0" applyNumberFormat="1" applyFont="1" applyBorder="1" applyAlignment="1">
      <alignment horizontal="center" vertical="center" wrapText="1"/>
    </xf>
    <xf numFmtId="4" fontId="0" fillId="0" borderId="0" xfId="0" applyNumberFormat="1"/>
    <xf numFmtId="0" fontId="126" fillId="0" borderId="0" xfId="0" applyFont="1"/>
    <xf numFmtId="0" fontId="121" fillId="0" borderId="0" xfId="0" applyFont="1"/>
    <xf numFmtId="0" fontId="77" fillId="4" borderId="44" xfId="0" applyFont="1" applyFill="1" applyBorder="1" applyAlignment="1">
      <alignment vertical="top" wrapText="1"/>
    </xf>
    <xf numFmtId="0" fontId="126" fillId="17" borderId="2" xfId="0" applyFont="1" applyFill="1" applyBorder="1" applyAlignment="1">
      <alignment horizontal="center"/>
    </xf>
    <xf numFmtId="174" fontId="75" fillId="0" borderId="0" xfId="0" applyNumberFormat="1" applyFont="1" applyAlignment="1">
      <alignment horizontal="center"/>
    </xf>
    <xf numFmtId="214" fontId="0" fillId="0" borderId="37" xfId="0" applyNumberFormat="1" applyBorder="1"/>
    <xf numFmtId="214" fontId="0" fillId="0" borderId="63" xfId="0" applyNumberFormat="1" applyBorder="1"/>
    <xf numFmtId="214" fontId="0" fillId="0" borderId="42" xfId="0" applyNumberFormat="1" applyBorder="1"/>
    <xf numFmtId="214" fontId="75" fillId="7" borderId="37" xfId="0" applyNumberFormat="1" applyFont="1" applyFill="1" applyBorder="1"/>
    <xf numFmtId="214" fontId="75" fillId="7" borderId="42" xfId="0" applyNumberFormat="1" applyFont="1" applyFill="1" applyBorder="1"/>
    <xf numFmtId="165" fontId="75" fillId="7" borderId="37" xfId="3" applyNumberFormat="1" applyFont="1" applyFill="1" applyBorder="1"/>
    <xf numFmtId="165" fontId="75" fillId="7" borderId="42" xfId="3" applyNumberFormat="1" applyFont="1" applyFill="1" applyBorder="1"/>
    <xf numFmtId="165" fontId="75" fillId="7" borderId="63" xfId="3" applyNumberFormat="1" applyFont="1" applyFill="1" applyBorder="1"/>
    <xf numFmtId="165" fontId="75" fillId="7" borderId="37" xfId="3" applyNumberFormat="1" applyFont="1" applyFill="1" applyBorder="1" applyAlignment="1">
      <alignment horizontal="right"/>
    </xf>
    <xf numFmtId="165" fontId="75" fillId="7" borderId="42" xfId="3" applyNumberFormat="1" applyFont="1" applyFill="1" applyBorder="1" applyAlignment="1">
      <alignment horizontal="right"/>
    </xf>
    <xf numFmtId="165" fontId="75" fillId="7" borderId="35" xfId="0" applyNumberFormat="1" applyFont="1" applyFill="1" applyBorder="1" applyAlignment="1">
      <alignment horizontal="right"/>
    </xf>
    <xf numFmtId="165" fontId="75" fillId="7" borderId="34" xfId="0" applyNumberFormat="1" applyFont="1" applyFill="1" applyBorder="1" applyAlignment="1">
      <alignment horizontal="right"/>
    </xf>
    <xf numFmtId="211" fontId="75" fillId="0" borderId="57" xfId="0" applyNumberFormat="1" applyFont="1" applyBorder="1" applyAlignment="1">
      <alignment horizontal="right"/>
    </xf>
    <xf numFmtId="211" fontId="0" fillId="0" borderId="57" xfId="0" applyNumberFormat="1" applyBorder="1" applyAlignment="1">
      <alignment horizontal="right"/>
    </xf>
    <xf numFmtId="211" fontId="0" fillId="0" borderId="61" xfId="0" applyNumberFormat="1" applyBorder="1" applyAlignment="1">
      <alignment horizontal="right"/>
    </xf>
    <xf numFmtId="211" fontId="0" fillId="0" borderId="37" xfId="0" applyNumberFormat="1" applyBorder="1" applyAlignment="1">
      <alignment horizontal="right"/>
    </xf>
    <xf numFmtId="211" fontId="0" fillId="0" borderId="42" xfId="0" applyNumberFormat="1" applyBorder="1" applyAlignment="1">
      <alignment horizontal="right"/>
    </xf>
    <xf numFmtId="211" fontId="96" fillId="17" borderId="14" xfId="0" applyNumberFormat="1" applyFont="1" applyFill="1" applyBorder="1" applyAlignment="1"/>
    <xf numFmtId="211" fontId="96" fillId="17" borderId="15" xfId="0" applyNumberFormat="1" applyFont="1" applyFill="1" applyBorder="1" applyAlignment="1"/>
    <xf numFmtId="211" fontId="75" fillId="7" borderId="37" xfId="0" applyNumberFormat="1" applyFont="1" applyFill="1" applyBorder="1" applyAlignment="1">
      <alignment horizontal="right"/>
    </xf>
    <xf numFmtId="211" fontId="75" fillId="7" borderId="42" xfId="0" applyNumberFormat="1" applyFont="1" applyFill="1" applyBorder="1" applyAlignment="1">
      <alignment horizontal="right"/>
    </xf>
    <xf numFmtId="211" fontId="75" fillId="17" borderId="37" xfId="0" applyNumberFormat="1" applyFont="1" applyFill="1" applyBorder="1" applyAlignment="1">
      <alignment horizontal="right"/>
    </xf>
    <xf numFmtId="211" fontId="75" fillId="17" borderId="42" xfId="0" applyNumberFormat="1" applyFont="1" applyFill="1" applyBorder="1" applyAlignment="1">
      <alignment horizontal="right"/>
    </xf>
    <xf numFmtId="211" fontId="75" fillId="17" borderId="35" xfId="0" applyNumberFormat="1" applyFont="1" applyFill="1" applyBorder="1" applyAlignment="1">
      <alignment horizontal="right"/>
    </xf>
    <xf numFmtId="211" fontId="75" fillId="17" borderId="34" xfId="0" applyNumberFormat="1" applyFont="1" applyFill="1" applyBorder="1" applyAlignment="1">
      <alignment horizontal="right"/>
    </xf>
    <xf numFmtId="211" fontId="75" fillId="0" borderId="0" xfId="0" applyNumberFormat="1" applyFont="1" applyFill="1" applyBorder="1" applyAlignment="1">
      <alignment horizontal="right"/>
    </xf>
    <xf numFmtId="211" fontId="3" fillId="4" borderId="39" xfId="0" applyNumberFormat="1" applyFont="1" applyFill="1" applyBorder="1" applyAlignment="1">
      <alignment horizontal="right"/>
    </xf>
    <xf numFmtId="211" fontId="3" fillId="4" borderId="40" xfId="0" applyNumberFormat="1" applyFont="1" applyFill="1" applyBorder="1" applyAlignment="1">
      <alignment horizontal="right"/>
    </xf>
    <xf numFmtId="211" fontId="0" fillId="0" borderId="0" xfId="0" applyNumberFormat="1"/>
    <xf numFmtId="215" fontId="78" fillId="0" borderId="68" xfId="0" applyNumberFormat="1" applyFont="1" applyBorder="1" applyAlignment="1">
      <alignment horizontal="center" vertical="center" wrapText="1"/>
    </xf>
    <xf numFmtId="215" fontId="78" fillId="0" borderId="49" xfId="0" applyNumberFormat="1" applyFont="1" applyBorder="1" applyAlignment="1">
      <alignment horizontal="center" vertical="center" wrapText="1"/>
    </xf>
    <xf numFmtId="0" fontId="87" fillId="21" borderId="0" xfId="0" applyFont="1" applyFill="1" applyAlignment="1">
      <alignment horizontal="left" vertical="top" wrapText="1"/>
    </xf>
    <xf numFmtId="0" fontId="85" fillId="21" borderId="0" xfId="0" applyFont="1" applyFill="1" applyAlignment="1">
      <alignment horizontal="center" vertical="center"/>
    </xf>
    <xf numFmtId="191" fontId="85" fillId="21" borderId="0" xfId="0" applyNumberFormat="1" applyFont="1" applyFill="1" applyAlignment="1">
      <alignment horizontal="center" vertical="center"/>
    </xf>
    <xf numFmtId="0" fontId="86" fillId="21" borderId="0" xfId="0" applyFont="1" applyFill="1" applyAlignment="1">
      <alignment horizontal="left"/>
    </xf>
    <xf numFmtId="0" fontId="3" fillId="4" borderId="38" xfId="0" applyFont="1" applyFill="1" applyBorder="1" applyAlignment="1">
      <alignment vertical="center"/>
    </xf>
    <xf numFmtId="0" fontId="3" fillId="4" borderId="41" xfId="0" applyFont="1" applyFill="1" applyBorder="1" applyAlignment="1">
      <alignment vertical="center"/>
    </xf>
    <xf numFmtId="0" fontId="3" fillId="4" borderId="62" xfId="0" applyFont="1" applyFill="1" applyBorder="1" applyAlignment="1">
      <alignment horizontal="center"/>
    </xf>
    <xf numFmtId="0" fontId="3" fillId="4" borderId="64" xfId="0" applyFont="1" applyFill="1" applyBorder="1" applyAlignment="1">
      <alignment horizontal="center"/>
    </xf>
    <xf numFmtId="0" fontId="3" fillId="4" borderId="65" xfId="0" applyFont="1" applyFill="1" applyBorder="1" applyAlignment="1">
      <alignment horizontal="center"/>
    </xf>
    <xf numFmtId="0" fontId="3" fillId="4" borderId="62" xfId="0" applyFont="1" applyFill="1" applyBorder="1" applyAlignment="1">
      <alignment horizontal="center" wrapText="1"/>
    </xf>
    <xf numFmtId="0" fontId="3" fillId="4" borderId="64" xfId="0" applyFont="1" applyFill="1" applyBorder="1" applyAlignment="1">
      <alignment horizontal="center" wrapText="1"/>
    </xf>
    <xf numFmtId="0" fontId="3" fillId="4" borderId="66" xfId="0" applyFont="1" applyFill="1" applyBorder="1" applyAlignment="1">
      <alignment horizontal="center" wrapText="1"/>
    </xf>
    <xf numFmtId="0" fontId="80" fillId="4" borderId="44" xfId="0" applyFont="1" applyFill="1" applyBorder="1" applyAlignment="1">
      <alignment horizontal="left" vertical="top"/>
    </xf>
    <xf numFmtId="0" fontId="80" fillId="4" borderId="47" xfId="0" applyFont="1" applyFill="1" applyBorder="1" applyAlignment="1">
      <alignment horizontal="left" vertical="top"/>
    </xf>
    <xf numFmtId="4" fontId="83" fillId="0" borderId="44" xfId="0" applyNumberFormat="1" applyFont="1" applyBorder="1" applyAlignment="1">
      <alignment horizontal="left" vertical="top" wrapText="1"/>
    </xf>
    <xf numFmtId="4" fontId="83" fillId="0" borderId="47" xfId="0" applyNumberFormat="1" applyFont="1" applyBorder="1" applyAlignment="1">
      <alignment horizontal="left" vertical="top" wrapText="1"/>
    </xf>
    <xf numFmtId="164" fontId="83" fillId="0" borderId="44" xfId="0" applyNumberFormat="1" applyFont="1" applyBorder="1" applyAlignment="1">
      <alignment horizontal="left" vertical="top" wrapText="1"/>
    </xf>
    <xf numFmtId="164" fontId="83" fillId="0" borderId="47" xfId="0" applyNumberFormat="1" applyFont="1" applyBorder="1" applyAlignment="1">
      <alignment horizontal="left" vertical="top" wrapText="1"/>
    </xf>
    <xf numFmtId="166" fontId="83" fillId="0" borderId="44" xfId="0" applyNumberFormat="1" applyFont="1" applyBorder="1" applyAlignment="1">
      <alignment horizontal="left" vertical="top" wrapText="1"/>
    </xf>
    <xf numFmtId="166" fontId="83" fillId="0" borderId="47" xfId="0" applyNumberFormat="1" applyFont="1" applyBorder="1" applyAlignment="1">
      <alignment horizontal="left" vertical="top" wrapText="1"/>
    </xf>
    <xf numFmtId="0" fontId="79" fillId="17" borderId="50" xfId="0" applyFont="1" applyFill="1" applyBorder="1" applyAlignment="1">
      <alignment horizontal="left" vertical="center"/>
    </xf>
    <xf numFmtId="0" fontId="79" fillId="17" borderId="48" xfId="0" applyFont="1" applyFill="1" applyBorder="1" applyAlignment="1">
      <alignment horizontal="left" vertical="center"/>
    </xf>
    <xf numFmtId="0" fontId="79" fillId="17" borderId="49" xfId="0" applyFont="1" applyFill="1" applyBorder="1" applyAlignment="1">
      <alignment horizontal="left" vertical="center"/>
    </xf>
    <xf numFmtId="0" fontId="83" fillId="0" borderId="44" xfId="0" applyFont="1" applyBorder="1" applyAlignment="1">
      <alignment horizontal="left" vertical="top" wrapText="1"/>
    </xf>
    <xf numFmtId="0" fontId="83" fillId="0" borderId="47" xfId="0" applyFont="1" applyBorder="1" applyAlignment="1">
      <alignment horizontal="left" vertical="top" wrapText="1"/>
    </xf>
    <xf numFmtId="0" fontId="118" fillId="0" borderId="44" xfId="0" applyFont="1" applyBorder="1" applyAlignment="1">
      <alignment horizontal="left" vertical="top" wrapText="1"/>
    </xf>
    <xf numFmtId="0" fontId="118" fillId="0" borderId="47" xfId="0" applyFont="1" applyBorder="1" applyAlignment="1">
      <alignment horizontal="left" vertical="top" wrapText="1"/>
    </xf>
    <xf numFmtId="0" fontId="77" fillId="4" borderId="50" xfId="0" applyFont="1" applyFill="1" applyBorder="1" applyAlignment="1">
      <alignment horizontal="left" vertical="top"/>
    </xf>
    <xf numFmtId="0" fontId="77" fillId="4" borderId="49" xfId="0" applyFont="1" applyFill="1" applyBorder="1" applyAlignment="1">
      <alignment horizontal="left" vertical="top"/>
    </xf>
    <xf numFmtId="0" fontId="79" fillId="0" borderId="44" xfId="0" applyFont="1" applyBorder="1" applyAlignment="1">
      <alignment vertical="top"/>
    </xf>
    <xf numFmtId="0" fontId="79" fillId="0" borderId="47" xfId="0" applyFont="1" applyBorder="1" applyAlignment="1">
      <alignment vertical="top"/>
    </xf>
    <xf numFmtId="0" fontId="78" fillId="0" borderId="44" xfId="0" applyFont="1" applyFill="1" applyBorder="1" applyAlignment="1">
      <alignment horizontal="left" vertical="top" wrapText="1"/>
    </xf>
    <xf numFmtId="0" fontId="78" fillId="0" borderId="46" xfId="0" applyFont="1" applyFill="1" applyBorder="1" applyAlignment="1">
      <alignment horizontal="left" vertical="top" wrapText="1"/>
    </xf>
    <xf numFmtId="0" fontId="78" fillId="0" borderId="47" xfId="0" applyFont="1" applyFill="1" applyBorder="1" applyAlignment="1">
      <alignment horizontal="left" vertical="top" wrapText="1"/>
    </xf>
    <xf numFmtId="0" fontId="79" fillId="0" borderId="46" xfId="0" applyFont="1" applyBorder="1" applyAlignment="1">
      <alignment vertical="top"/>
    </xf>
    <xf numFmtId="165" fontId="118" fillId="0" borderId="50" xfId="0" applyNumberFormat="1" applyFont="1" applyBorder="1" applyAlignment="1">
      <alignment horizontal="center" vertical="center"/>
    </xf>
    <xf numFmtId="165" fontId="118" fillId="0" borderId="48" xfId="0" applyNumberFormat="1" applyFont="1" applyBorder="1" applyAlignment="1">
      <alignment horizontal="center" vertical="center"/>
    </xf>
    <xf numFmtId="165" fontId="118" fillId="0" borderId="67" xfId="0" applyNumberFormat="1" applyFont="1" applyBorder="1" applyAlignment="1">
      <alignment horizontal="center" vertical="center"/>
    </xf>
    <xf numFmtId="0" fontId="77" fillId="4" borderId="50" xfId="0" applyFont="1" applyFill="1" applyBorder="1" applyAlignment="1">
      <alignment horizontal="center" vertical="center"/>
    </xf>
    <xf numFmtId="0" fontId="77" fillId="4" borderId="48" xfId="0" applyFont="1" applyFill="1" applyBorder="1" applyAlignment="1">
      <alignment horizontal="center" vertical="center"/>
    </xf>
    <xf numFmtId="0" fontId="77" fillId="4" borderId="49" xfId="0" applyFont="1" applyFill="1" applyBorder="1" applyAlignment="1">
      <alignment horizontal="center" vertical="center"/>
    </xf>
    <xf numFmtId="0" fontId="83" fillId="0" borderId="44" xfId="0" applyNumberFormat="1" applyFont="1" applyBorder="1" applyAlignment="1">
      <alignment horizontal="left" vertical="top" wrapText="1"/>
    </xf>
    <xf numFmtId="0" fontId="83" fillId="0" borderId="46" xfId="0" applyNumberFormat="1" applyFont="1" applyBorder="1" applyAlignment="1">
      <alignment horizontal="left" vertical="top" wrapText="1"/>
    </xf>
    <xf numFmtId="0" fontId="83" fillId="0" borderId="47" xfId="0" applyNumberFormat="1" applyFont="1" applyBorder="1" applyAlignment="1">
      <alignment horizontal="left" vertical="top" wrapText="1"/>
    </xf>
    <xf numFmtId="174" fontId="79" fillId="0" borderId="68" xfId="0" applyNumberFormat="1" applyFont="1" applyBorder="1" applyAlignment="1">
      <alignment horizontal="center" vertical="center" wrapText="1"/>
    </xf>
    <xf numFmtId="174" fontId="79" fillId="0" borderId="69" xfId="0" applyNumberFormat="1" applyFont="1" applyBorder="1" applyAlignment="1">
      <alignment horizontal="center" vertical="center" wrapText="1"/>
    </xf>
    <xf numFmtId="174" fontId="79" fillId="0" borderId="45" xfId="0" applyNumberFormat="1" applyFont="1" applyBorder="1" applyAlignment="1">
      <alignment horizontal="center" vertical="center" wrapText="1"/>
    </xf>
    <xf numFmtId="0" fontId="78" fillId="0" borderId="44" xfId="0" applyFont="1" applyBorder="1" applyAlignment="1">
      <alignment vertical="top" wrapText="1"/>
    </xf>
    <xf numFmtId="0" fontId="78" fillId="0" borderId="47" xfId="0" applyFont="1" applyBorder="1" applyAlignment="1">
      <alignment vertical="top" wrapText="1"/>
    </xf>
    <xf numFmtId="215" fontId="79" fillId="0" borderId="44" xfId="0" applyNumberFormat="1" applyFont="1" applyBorder="1" applyAlignment="1">
      <alignment horizontal="center" vertical="center" wrapText="1"/>
    </xf>
    <xf numFmtId="215" fontId="79" fillId="0" borderId="46" xfId="0" applyNumberFormat="1" applyFont="1" applyBorder="1" applyAlignment="1">
      <alignment horizontal="center" vertical="center" wrapText="1"/>
    </xf>
    <xf numFmtId="215" fontId="79" fillId="0" borderId="47" xfId="0" applyNumberFormat="1" applyFont="1" applyBorder="1" applyAlignment="1">
      <alignment horizontal="center" vertical="center" wrapText="1"/>
    </xf>
    <xf numFmtId="0" fontId="75" fillId="18" borderId="13" xfId="0" applyFont="1" applyFill="1" applyBorder="1" applyAlignment="1">
      <alignment horizontal="left" vertical="top"/>
    </xf>
    <xf numFmtId="0" fontId="75" fillId="18" borderId="14" xfId="0" applyFont="1" applyFill="1" applyBorder="1" applyAlignment="1">
      <alignment horizontal="left" vertical="top"/>
    </xf>
    <xf numFmtId="0" fontId="75" fillId="18" borderId="15" xfId="0" applyFont="1" applyFill="1" applyBorder="1" applyAlignment="1">
      <alignment horizontal="left" vertical="top"/>
    </xf>
    <xf numFmtId="0" fontId="0" fillId="0" borderId="13" xfId="0" applyFont="1" applyBorder="1" applyAlignment="1">
      <alignment vertical="top"/>
    </xf>
    <xf numFmtId="0" fontId="0" fillId="0" borderId="14" xfId="0" applyFont="1" applyBorder="1" applyAlignment="1">
      <alignment vertical="top"/>
    </xf>
    <xf numFmtId="0" fontId="0" fillId="0" borderId="15" xfId="0" applyFont="1" applyBorder="1" applyAlignment="1">
      <alignment vertical="top"/>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75" fillId="0" borderId="13" xfId="0" applyFont="1" applyBorder="1" applyAlignment="1">
      <alignment horizontal="left" vertical="top"/>
    </xf>
    <xf numFmtId="0" fontId="75" fillId="0" borderId="14" xfId="0" applyFont="1" applyBorder="1" applyAlignment="1">
      <alignment horizontal="left" vertical="top"/>
    </xf>
    <xf numFmtId="0" fontId="75" fillId="0" borderId="15" xfId="0" applyFont="1" applyBorder="1" applyAlignment="1">
      <alignment horizontal="left" vertical="top"/>
    </xf>
    <xf numFmtId="0" fontId="0" fillId="0" borderId="17" xfId="0" applyFont="1" applyBorder="1" applyAlignment="1">
      <alignment horizontal="left" vertical="top" wrapText="1"/>
    </xf>
    <xf numFmtId="0" fontId="0" fillId="0" borderId="11" xfId="0" applyFont="1" applyBorder="1" applyAlignment="1">
      <alignment vertical="top" wrapText="1"/>
    </xf>
    <xf numFmtId="0" fontId="0" fillId="0" borderId="12" xfId="0" applyFont="1" applyBorder="1" applyAlignment="1">
      <alignment vertical="top" wrapText="1"/>
    </xf>
    <xf numFmtId="0" fontId="110" fillId="4" borderId="2" xfId="0" applyFont="1" applyFill="1" applyBorder="1" applyAlignment="1">
      <alignment horizontal="center" vertical="center"/>
    </xf>
    <xf numFmtId="0" fontId="110" fillId="4" borderId="2" xfId="0" applyFont="1" applyFill="1" applyBorder="1" applyAlignment="1">
      <alignment horizontal="center" vertical="center" wrapText="1"/>
    </xf>
    <xf numFmtId="0" fontId="110" fillId="4" borderId="13" xfId="0" applyFont="1" applyFill="1" applyBorder="1" applyAlignment="1">
      <alignment horizontal="left" vertical="center" wrapText="1"/>
    </xf>
    <xf numFmtId="0" fontId="110" fillId="4" borderId="14" xfId="0" applyFont="1" applyFill="1" applyBorder="1" applyAlignment="1">
      <alignment horizontal="left" vertical="center" wrapText="1"/>
    </xf>
    <xf numFmtId="0" fontId="110" fillId="4" borderId="15" xfId="0" applyFont="1" applyFill="1" applyBorder="1" applyAlignment="1">
      <alignment horizontal="left" vertical="center" wrapText="1"/>
    </xf>
    <xf numFmtId="0" fontId="110" fillId="4" borderId="13" xfId="0" applyFont="1" applyFill="1" applyBorder="1" applyAlignment="1">
      <alignment vertical="center" wrapText="1"/>
    </xf>
    <xf numFmtId="0" fontId="110" fillId="4" borderId="15" xfId="0" applyFont="1" applyFill="1" applyBorder="1" applyAlignment="1">
      <alignment vertical="center" wrapText="1"/>
    </xf>
    <xf numFmtId="0" fontId="116" fillId="11" borderId="2" xfId="0" applyFont="1" applyFill="1" applyBorder="1" applyAlignment="1">
      <alignment vertical="top" wrapText="1"/>
    </xf>
    <xf numFmtId="0" fontId="108" fillId="0" borderId="13" xfId="0" applyFont="1" applyBorder="1" applyAlignment="1">
      <alignment vertical="center" wrapText="1"/>
    </xf>
    <xf numFmtId="0" fontId="108" fillId="0" borderId="15" xfId="0" applyFont="1" applyBorder="1" applyAlignment="1">
      <alignment vertical="center" wrapText="1"/>
    </xf>
    <xf numFmtId="0" fontId="110" fillId="4" borderId="13" xfId="0" applyFont="1" applyFill="1" applyBorder="1" applyAlignment="1">
      <alignment horizontal="center" vertical="center" wrapText="1"/>
    </xf>
    <xf numFmtId="0" fontId="110" fillId="4" borderId="14" xfId="0" applyFont="1" applyFill="1" applyBorder="1" applyAlignment="1">
      <alignment horizontal="center" vertical="center" wrapText="1"/>
    </xf>
    <xf numFmtId="0" fontId="115" fillId="0" borderId="2" xfId="0" applyFont="1" applyBorder="1" applyAlignment="1">
      <alignment vertical="center" wrapText="1"/>
    </xf>
    <xf numFmtId="0" fontId="122" fillId="4" borderId="2" xfId="0" applyFont="1" applyFill="1" applyBorder="1" applyAlignment="1">
      <alignment horizontal="center" vertical="center"/>
    </xf>
    <xf numFmtId="0" fontId="0" fillId="0" borderId="2" xfId="0" applyFont="1" applyFill="1" applyBorder="1" applyAlignment="1">
      <alignment horizontal="left" vertical="top"/>
    </xf>
    <xf numFmtId="0" fontId="106" fillId="0" borderId="2" xfId="0" applyFont="1" applyFill="1" applyBorder="1" applyAlignment="1">
      <alignment vertical="top" wrapText="1"/>
    </xf>
    <xf numFmtId="0" fontId="0" fillId="0" borderId="2" xfId="0" applyFont="1" applyFill="1" applyBorder="1" applyAlignment="1">
      <alignment horizontal="center"/>
    </xf>
    <xf numFmtId="0" fontId="106" fillId="0" borderId="2" xfId="0" applyFont="1" applyFill="1" applyBorder="1" applyAlignment="1">
      <alignment horizontal="center"/>
    </xf>
    <xf numFmtId="0" fontId="106" fillId="0" borderId="2" xfId="0" applyFont="1" applyFill="1" applyBorder="1" applyAlignment="1">
      <alignment horizontal="left" vertical="top" wrapText="1"/>
    </xf>
    <xf numFmtId="0" fontId="23" fillId="0" borderId="11" xfId="7" applyFont="1" applyBorder="1" applyAlignment="1">
      <alignment horizontal="center" vertical="top" wrapText="1"/>
    </xf>
    <xf numFmtId="0" fontId="23" fillId="0" borderId="12" xfId="7" applyFont="1" applyBorder="1" applyAlignment="1">
      <alignment horizontal="center" vertical="top" wrapText="1"/>
    </xf>
    <xf numFmtId="0" fontId="23" fillId="0" borderId="11" xfId="7" applyFont="1" applyBorder="1" applyAlignment="1">
      <alignment horizontal="center" vertical="top"/>
    </xf>
    <xf numFmtId="0" fontId="23" fillId="0" borderId="12" xfId="7" applyFont="1" applyBorder="1" applyAlignment="1">
      <alignment horizontal="center" vertical="top"/>
    </xf>
    <xf numFmtId="0" fontId="17" fillId="0" borderId="0" xfId="0" applyFont="1" applyFill="1" applyAlignment="1">
      <alignment horizontal="left" vertical="center" wrapText="1" shrinkToFit="1"/>
    </xf>
    <xf numFmtId="0" fontId="21" fillId="0" borderId="0" xfId="6" applyFont="1" applyAlignment="1" applyProtection="1">
      <alignment horizontal="left" vertical="center" wrapText="1" shrinkToFit="1"/>
    </xf>
    <xf numFmtId="0" fontId="17" fillId="0" borderId="0" xfId="0" applyFont="1" applyAlignment="1">
      <alignment horizontal="left" vertical="center" wrapText="1" shrinkToFit="1"/>
    </xf>
    <xf numFmtId="0" fontId="21" fillId="0" borderId="0" xfId="6" applyFont="1" applyFill="1" applyAlignment="1" applyProtection="1">
      <alignment horizontal="left" vertical="center" wrapText="1" shrinkToFit="1"/>
    </xf>
    <xf numFmtId="0" fontId="13" fillId="12" borderId="13" xfId="0" applyFont="1" applyFill="1" applyBorder="1" applyAlignment="1">
      <alignment vertical="center" wrapText="1"/>
    </xf>
    <xf numFmtId="0" fontId="13" fillId="12" borderId="14" xfId="0" applyFont="1" applyFill="1" applyBorder="1" applyAlignment="1">
      <alignment vertical="center" wrapText="1"/>
    </xf>
    <xf numFmtId="0" fontId="13" fillId="12" borderId="15" xfId="0" applyFont="1" applyFill="1" applyBorder="1" applyAlignment="1">
      <alignment vertical="center" wrapText="1"/>
    </xf>
    <xf numFmtId="0" fontId="40" fillId="0" borderId="0" xfId="0" applyFont="1" applyAlignment="1">
      <alignment horizontal="left" vertical="top" wrapText="1" shrinkToFit="1"/>
    </xf>
    <xf numFmtId="0" fontId="45" fillId="0" borderId="0" xfId="6" applyFont="1" applyAlignment="1" applyProtection="1">
      <alignment vertical="top" wrapText="1" shrinkToFit="1"/>
    </xf>
    <xf numFmtId="0" fontId="40" fillId="0" borderId="0" xfId="0" applyFont="1" applyBorder="1" applyAlignment="1">
      <alignment horizontal="left" vertical="top" wrapText="1" shrinkToFit="1"/>
    </xf>
    <xf numFmtId="0" fontId="45" fillId="0" borderId="0" xfId="6" applyFont="1" applyAlignment="1" applyProtection="1">
      <alignment horizontal="left" vertical="top" wrapText="1"/>
    </xf>
    <xf numFmtId="0" fontId="40" fillId="0" borderId="0" xfId="0" applyFont="1" applyAlignment="1">
      <alignment horizontal="left" vertical="top" wrapText="1"/>
    </xf>
    <xf numFmtId="0" fontId="40" fillId="0" borderId="0" xfId="0" applyFont="1" applyAlignment="1">
      <alignment vertical="center"/>
    </xf>
    <xf numFmtId="0" fontId="40" fillId="0" borderId="0" xfId="0" applyFont="1" applyAlignment="1">
      <alignment horizontal="center" vertical="center"/>
    </xf>
    <xf numFmtId="0" fontId="40" fillId="8" borderId="4" xfId="0" applyFont="1" applyFill="1" applyBorder="1" applyAlignment="1">
      <alignment horizontal="center" vertical="center"/>
    </xf>
    <xf numFmtId="0" fontId="40" fillId="8" borderId="16" xfId="0" applyFont="1" applyFill="1" applyBorder="1" applyAlignment="1">
      <alignment horizontal="center" vertical="center"/>
    </xf>
    <xf numFmtId="0" fontId="40" fillId="8" borderId="6" xfId="0" applyFont="1" applyFill="1" applyBorder="1" applyAlignment="1">
      <alignment horizontal="center" vertical="center"/>
    </xf>
    <xf numFmtId="0" fontId="43" fillId="0" borderId="0" xfId="0" applyFont="1" applyAlignment="1">
      <alignment horizontal="center" vertical="center" wrapText="1"/>
    </xf>
    <xf numFmtId="0" fontId="43" fillId="6" borderId="11" xfId="0" applyFont="1" applyFill="1" applyBorder="1" applyAlignment="1">
      <alignment horizontal="center" vertical="center"/>
    </xf>
    <xf numFmtId="0" fontId="43" fillId="6" borderId="12" xfId="0" applyFont="1" applyFill="1" applyBorder="1" applyAlignment="1">
      <alignment horizontal="center" vertical="center"/>
    </xf>
    <xf numFmtId="0" fontId="43" fillId="6" borderId="2" xfId="0" applyFont="1" applyFill="1" applyBorder="1" applyAlignment="1">
      <alignment horizontal="center" vertical="center" wrapText="1"/>
    </xf>
    <xf numFmtId="44" fontId="50" fillId="0" borderId="2" xfId="2" applyFont="1" applyBorder="1" applyAlignment="1">
      <alignment horizontal="center" vertical="center" wrapText="1"/>
    </xf>
    <xf numFmtId="44" fontId="56" fillId="0" borderId="21" xfId="2" applyFont="1" applyBorder="1" applyAlignment="1">
      <alignment horizontal="center" vertical="center" wrapText="1"/>
    </xf>
    <xf numFmtId="44" fontId="56" fillId="0" borderId="23" xfId="2" applyFont="1" applyBorder="1" applyAlignment="1">
      <alignment horizontal="center" vertical="center" wrapText="1"/>
    </xf>
    <xf numFmtId="44" fontId="56" fillId="0" borderId="25" xfId="2" applyFont="1" applyBorder="1" applyAlignment="1">
      <alignment horizontal="center" vertical="center" wrapText="1"/>
    </xf>
    <xf numFmtId="0" fontId="62" fillId="0" borderId="27" xfId="0" applyFont="1" applyFill="1" applyBorder="1" applyAlignment="1">
      <alignment horizontal="center" wrapText="1"/>
    </xf>
    <xf numFmtId="0" fontId="62" fillId="0" borderId="28" xfId="0" applyFont="1" applyFill="1" applyBorder="1" applyAlignment="1">
      <alignment horizontal="center" wrapText="1"/>
    </xf>
    <xf numFmtId="0" fontId="62" fillId="0" borderId="29" xfId="0" applyFont="1" applyFill="1" applyBorder="1" applyAlignment="1">
      <alignment horizontal="center" wrapText="1"/>
    </xf>
    <xf numFmtId="0" fontId="62" fillId="0" borderId="27" xfId="0" applyFont="1" applyFill="1" applyBorder="1" applyAlignment="1">
      <alignment horizontal="center" vertical="top" wrapText="1"/>
    </xf>
    <xf numFmtId="0" fontId="62" fillId="0" borderId="28" xfId="0" applyFont="1" applyFill="1" applyBorder="1" applyAlignment="1">
      <alignment horizontal="center" vertical="top" wrapText="1"/>
    </xf>
    <xf numFmtId="0" fontId="62" fillId="0" borderId="29" xfId="0" applyFont="1" applyFill="1" applyBorder="1" applyAlignment="1">
      <alignment horizontal="center" vertical="top" wrapText="1"/>
    </xf>
    <xf numFmtId="0" fontId="43" fillId="0" borderId="2" xfId="0" applyFont="1" applyBorder="1" applyAlignment="1">
      <alignment horizontal="center" wrapText="1"/>
    </xf>
    <xf numFmtId="0" fontId="38" fillId="0" borderId="2" xfId="0" applyFont="1" applyBorder="1" applyAlignment="1">
      <alignment horizontal="center" wrapText="1"/>
    </xf>
    <xf numFmtId="0" fontId="43" fillId="0" borderId="2" xfId="0" applyFont="1" applyFill="1" applyBorder="1" applyAlignment="1">
      <alignment horizontal="center" vertical="top" wrapText="1"/>
    </xf>
    <xf numFmtId="3" fontId="40" fillId="7" borderId="32" xfId="0" applyNumberFormat="1" applyFont="1" applyFill="1" applyBorder="1" applyAlignment="1">
      <alignment horizontal="right" vertical="center" wrapText="1"/>
    </xf>
    <xf numFmtId="3" fontId="40" fillId="7" borderId="31" xfId="0" applyNumberFormat="1" applyFont="1" applyFill="1" applyBorder="1" applyAlignment="1">
      <alignment horizontal="right" vertical="center" wrapText="1"/>
    </xf>
    <xf numFmtId="0" fontId="91" fillId="22" borderId="52" xfId="14" applyFont="1" applyFill="1" applyBorder="1" applyAlignment="1">
      <alignment horizontal="center"/>
    </xf>
    <xf numFmtId="0" fontId="92" fillId="0" borderId="0" xfId="14" applyFont="1"/>
    <xf numFmtId="0" fontId="90" fillId="0" borderId="0" xfId="14"/>
    <xf numFmtId="0" fontId="93" fillId="0" borderId="0" xfId="14" applyFont="1"/>
  </cellXfs>
  <cellStyles count="20">
    <cellStyle name="Accent1" xfId="5" builtinId="29"/>
    <cellStyle name="Body: normal cell" xfId="11"/>
    <cellStyle name="Calculation" xfId="4" builtinId="22"/>
    <cellStyle name="Comma" xfId="1" builtinId="3"/>
    <cellStyle name="Comma 5" xfId="8"/>
    <cellStyle name="Currency" xfId="2" builtinId="4"/>
    <cellStyle name="Currency 4" xfId="10"/>
    <cellStyle name="Good" xfId="19" builtinId="26"/>
    <cellStyle name="Hyperlink" xfId="6" builtinId="8"/>
    <cellStyle name="Hyperlink 2" xfId="13"/>
    <cellStyle name="Normal" xfId="0" builtinId="0"/>
    <cellStyle name="Normal 16 2" xfId="18"/>
    <cellStyle name="Normal 2" xfId="14"/>
    <cellStyle name="Normal 21" xfId="7"/>
    <cellStyle name="Normal 3" xfId="12"/>
    <cellStyle name="Normal 8" xfId="17"/>
    <cellStyle name="Percent" xfId="3" builtinId="5"/>
    <cellStyle name="Percent 10" xfId="9"/>
    <cellStyle name="Source Text" xfId="16"/>
    <cellStyle name="Title-2" xfId="15"/>
  </cellStyles>
  <dxfs count="0"/>
  <tableStyles count="0" defaultTableStyle="TableStyleMedium2" defaultPivotStyle="PivotStyleMedium9"/>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671384309005573"/>
          <c:y val="0.13974737532808396"/>
          <c:w val="0.84799756384043157"/>
          <c:h val="0.66417322834645665"/>
        </c:manualLayout>
      </c:layout>
      <c:barChart>
        <c:barDir val="col"/>
        <c:grouping val="clustered"/>
        <c:varyColors val="0"/>
        <c:ser>
          <c:idx val="0"/>
          <c:order val="0"/>
          <c:tx>
            <c:v>CPI</c:v>
          </c:tx>
          <c:invertIfNegative val="0"/>
          <c:cat>
            <c:numLit>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Lit>
          </c:cat>
          <c:val>
            <c:numLit>
              <c:formatCode>0.0%</c:formatCode>
              <c:ptCount val="27"/>
              <c:pt idx="0">
                <c:v>4.2081101759755102E-2</c:v>
              </c:pt>
              <c:pt idx="1">
                <c:v>3.0102790014684411E-2</c:v>
              </c:pt>
              <c:pt idx="2">
                <c:v>2.9935851746258013E-2</c:v>
              </c:pt>
              <c:pt idx="3">
                <c:v>2.5605536332179879E-2</c:v>
              </c:pt>
              <c:pt idx="4">
                <c:v>2.8340080971660075E-2</c:v>
              </c:pt>
              <c:pt idx="5">
                <c:v>2.9527559055118058E-2</c:v>
              </c:pt>
              <c:pt idx="6">
                <c:v>2.2944550669216079E-2</c:v>
              </c:pt>
              <c:pt idx="7">
                <c:v>1.5576323987538832E-2</c:v>
              </c:pt>
              <c:pt idx="8">
                <c:v>2.208588957055202E-2</c:v>
              </c:pt>
              <c:pt idx="9">
                <c:v>3.3613445378151141E-2</c:v>
              </c:pt>
              <c:pt idx="10">
                <c:v>2.8455284552845628E-2</c:v>
              </c:pt>
              <c:pt idx="11">
                <c:v>1.5810276679842028E-2</c:v>
              </c:pt>
              <c:pt idx="12">
                <c:v>2.2790439132851503E-2</c:v>
              </c:pt>
              <c:pt idx="13">
                <c:v>2.6630434782608736E-2</c:v>
              </c:pt>
              <c:pt idx="14">
                <c:v>3.3880359978824881E-2</c:v>
              </c:pt>
              <c:pt idx="15">
                <c:v>3.2258064516129004E-2</c:v>
              </c:pt>
              <c:pt idx="16">
                <c:v>2.84821428571429E-2</c:v>
              </c:pt>
              <c:pt idx="17">
                <c:v>3.8395501152684863E-2</c:v>
              </c:pt>
              <c:pt idx="18">
                <c:v>-3.5577767146764971E-3</c:v>
              </c:pt>
              <c:pt idx="19">
                <c:v>1.6402765024214894E-2</c:v>
              </c:pt>
              <c:pt idx="20">
                <c:v>3.1565285981582702E-2</c:v>
              </c:pt>
              <c:pt idx="21">
                <c:v>2.0694499397614363E-2</c:v>
              </c:pt>
              <c:pt idx="22">
                <c:v>1.4647595320435247E-2</c:v>
              </c:pt>
              <c:pt idx="23">
                <c:v>1.6221877857286904E-2</c:v>
              </c:pt>
              <c:pt idx="24">
                <c:v>1.1869762097864722E-3</c:v>
              </c:pt>
              <c:pt idx="25">
                <c:v>1.2615128872612624E-2</c:v>
              </c:pt>
              <c:pt idx="26">
                <c:v>2.1303545313261729E-2</c:v>
              </c:pt>
            </c:numLit>
          </c:val>
        </c:ser>
        <c:ser>
          <c:idx val="2"/>
          <c:order val="1"/>
          <c:tx>
            <c:v>GDP Deflator</c:v>
          </c:tx>
          <c:invertIfNegative val="0"/>
          <c:cat>
            <c:numLit>
              <c:formatCode>General</c:formatCode>
              <c:ptCount val="27"/>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numLit>
          </c:cat>
          <c:val>
            <c:numRef>
              <c:f>{}</c:f>
            </c:numRef>
          </c:val>
        </c:ser>
        <c:dLbls>
          <c:showLegendKey val="0"/>
          <c:showVal val="0"/>
          <c:showCatName val="0"/>
          <c:showSerName val="0"/>
          <c:showPercent val="0"/>
          <c:showBubbleSize val="0"/>
        </c:dLbls>
        <c:gapWidth val="150"/>
        <c:axId val="481963680"/>
        <c:axId val="481964464"/>
      </c:barChart>
      <c:catAx>
        <c:axId val="481963680"/>
        <c:scaling>
          <c:orientation val="minMax"/>
        </c:scaling>
        <c:delete val="0"/>
        <c:axPos val="b"/>
        <c:numFmt formatCode="General" sourceLinked="1"/>
        <c:majorTickMark val="out"/>
        <c:minorTickMark val="none"/>
        <c:tickLblPos val="low"/>
        <c:crossAx val="481964464"/>
        <c:crosses val="autoZero"/>
        <c:auto val="1"/>
        <c:lblAlgn val="ctr"/>
        <c:lblOffset val="100"/>
        <c:noMultiLvlLbl val="0"/>
      </c:catAx>
      <c:valAx>
        <c:axId val="481964464"/>
        <c:scaling>
          <c:orientation val="minMax"/>
        </c:scaling>
        <c:delete val="0"/>
        <c:axPos val="l"/>
        <c:majorGridlines>
          <c:spPr>
            <a:ln w="3175">
              <a:solidFill>
                <a:schemeClr val="bg1">
                  <a:lumMod val="75000"/>
                </a:schemeClr>
              </a:solidFill>
              <a:prstDash val="dash"/>
            </a:ln>
          </c:spPr>
        </c:majorGridlines>
        <c:numFmt formatCode="0%" sourceLinked="0"/>
        <c:majorTickMark val="out"/>
        <c:minorTickMark val="none"/>
        <c:tickLblPos val="nextTo"/>
        <c:crossAx val="481963680"/>
        <c:crosses val="autoZero"/>
        <c:crossBetween val="between"/>
      </c:valAx>
    </c:plotArea>
    <c:legend>
      <c:legendPos val="t"/>
      <c:layout>
        <c:manualLayout>
          <c:xMode val="edge"/>
          <c:yMode val="edge"/>
          <c:x val="0.34544259315651843"/>
          <c:y val="2.7777777777777776E-2"/>
          <c:w val="0.32384777869617126"/>
          <c:h val="8.3717191601049873E-2"/>
        </c:manualLayout>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381000</xdr:colOff>
      <xdr:row>7</xdr:row>
      <xdr:rowOff>127000</xdr:rowOff>
    </xdr:from>
    <xdr:to>
      <xdr:col>7</xdr:col>
      <xdr:colOff>304800</xdr:colOff>
      <xdr:row>11</xdr:row>
      <xdr:rowOff>2178</xdr:rowOff>
    </xdr:to>
    <xdr:sp macro="" textlink="">
      <xdr:nvSpPr>
        <xdr:cNvPr id="2" name="Freeform 1"/>
        <xdr:cNvSpPr>
          <a:spLocks noChangeAspect="1" noEditPoints="1"/>
        </xdr:cNvSpPr>
      </xdr:nvSpPr>
      <xdr:spPr bwMode="auto">
        <a:xfrm>
          <a:off x="3667125" y="1536700"/>
          <a:ext cx="1238250" cy="599078"/>
        </a:xfrm>
        <a:custGeom>
          <a:avLst/>
          <a:gdLst>
            <a:gd name="T0" fmla="*/ 693 w 1044"/>
            <a:gd name="T1" fmla="*/ 280 h 576"/>
            <a:gd name="T2" fmla="*/ 693 w 1044"/>
            <a:gd name="T3" fmla="*/ 280 h 576"/>
            <a:gd name="T4" fmla="*/ 413 w 1044"/>
            <a:gd name="T5" fmla="*/ 561 h 576"/>
            <a:gd name="T6" fmla="*/ 347 w 1044"/>
            <a:gd name="T7" fmla="*/ 561 h 576"/>
            <a:gd name="T8" fmla="*/ 347 w 1044"/>
            <a:gd name="T9" fmla="*/ 455 h 576"/>
            <a:gd name="T10" fmla="*/ 413 w 1044"/>
            <a:gd name="T11" fmla="*/ 455 h 576"/>
            <a:gd name="T12" fmla="*/ 588 w 1044"/>
            <a:gd name="T13" fmla="*/ 280 h 576"/>
            <a:gd name="T14" fmla="*/ 413 w 1044"/>
            <a:gd name="T15" fmla="*/ 105 h 576"/>
            <a:gd name="T16" fmla="*/ 347 w 1044"/>
            <a:gd name="T17" fmla="*/ 105 h 576"/>
            <a:gd name="T18" fmla="*/ 347 w 1044"/>
            <a:gd name="T19" fmla="*/ 0 h 576"/>
            <a:gd name="T20" fmla="*/ 413 w 1044"/>
            <a:gd name="T21" fmla="*/ 0 h 576"/>
            <a:gd name="T22" fmla="*/ 693 w 1044"/>
            <a:gd name="T23" fmla="*/ 280 h 576"/>
            <a:gd name="T24" fmla="*/ 693 w 1044"/>
            <a:gd name="T25" fmla="*/ 280 h 576"/>
            <a:gd name="T26" fmla="*/ 693 w 1044"/>
            <a:gd name="T27" fmla="*/ 280 h 576"/>
            <a:gd name="T28" fmla="*/ 693 w 1044"/>
            <a:gd name="T29" fmla="*/ 280 h 576"/>
            <a:gd name="T30" fmla="*/ 693 w 1044"/>
            <a:gd name="T31" fmla="*/ 101 h 576"/>
            <a:gd name="T32" fmla="*/ 820 w 1044"/>
            <a:gd name="T33" fmla="*/ 101 h 576"/>
            <a:gd name="T34" fmla="*/ 902 w 1044"/>
            <a:gd name="T35" fmla="*/ 127 h 576"/>
            <a:gd name="T36" fmla="*/ 928 w 1044"/>
            <a:gd name="T37" fmla="*/ 191 h 576"/>
            <a:gd name="T38" fmla="*/ 825 w 1044"/>
            <a:gd name="T39" fmla="*/ 281 h 576"/>
            <a:gd name="T40" fmla="*/ 793 w 1044"/>
            <a:gd name="T41" fmla="*/ 281 h 576"/>
            <a:gd name="T42" fmla="*/ 756 w 1044"/>
            <a:gd name="T43" fmla="*/ 361 h 576"/>
            <a:gd name="T44" fmla="*/ 963 w 1044"/>
            <a:gd name="T45" fmla="*/ 576 h 576"/>
            <a:gd name="T46" fmla="*/ 1044 w 1044"/>
            <a:gd name="T47" fmla="*/ 508 h 576"/>
            <a:gd name="T48" fmla="*/ 897 w 1044"/>
            <a:gd name="T49" fmla="*/ 360 h 576"/>
            <a:gd name="T50" fmla="*/ 1033 w 1044"/>
            <a:gd name="T51" fmla="*/ 193 h 576"/>
            <a:gd name="T52" fmla="*/ 975 w 1044"/>
            <a:gd name="T53" fmla="*/ 50 h 576"/>
            <a:gd name="T54" fmla="*/ 812 w 1044"/>
            <a:gd name="T55" fmla="*/ 0 h 576"/>
            <a:gd name="T56" fmla="*/ 693 w 1044"/>
            <a:gd name="T57" fmla="*/ 0 h 576"/>
            <a:gd name="T58" fmla="*/ 693 w 1044"/>
            <a:gd name="T59" fmla="*/ 101 h 576"/>
            <a:gd name="T60" fmla="*/ 350 w 1044"/>
            <a:gd name="T61" fmla="*/ 224 h 576"/>
            <a:gd name="T62" fmla="*/ 114 w 1044"/>
            <a:gd name="T63" fmla="*/ 224 h 576"/>
            <a:gd name="T64" fmla="*/ 114 w 1044"/>
            <a:gd name="T65" fmla="*/ 0 h 576"/>
            <a:gd name="T66" fmla="*/ 0 w 1044"/>
            <a:gd name="T67" fmla="*/ 0 h 576"/>
            <a:gd name="T68" fmla="*/ 0 w 1044"/>
            <a:gd name="T69" fmla="*/ 561 h 576"/>
            <a:gd name="T70" fmla="*/ 114 w 1044"/>
            <a:gd name="T71" fmla="*/ 561 h 576"/>
            <a:gd name="T72" fmla="*/ 114 w 1044"/>
            <a:gd name="T73" fmla="*/ 336 h 576"/>
            <a:gd name="T74" fmla="*/ 350 w 1044"/>
            <a:gd name="T75" fmla="*/ 336 h 576"/>
            <a:gd name="T76" fmla="*/ 350 w 1044"/>
            <a:gd name="T77" fmla="*/ 224 h 5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044" h="576">
              <a:moveTo>
                <a:pt x="693" y="280"/>
              </a:moveTo>
              <a:cubicBezTo>
                <a:pt x="693" y="280"/>
                <a:pt x="693" y="280"/>
                <a:pt x="693" y="280"/>
              </a:cubicBezTo>
              <a:cubicBezTo>
                <a:pt x="693" y="442"/>
                <a:pt x="575" y="561"/>
                <a:pt x="413" y="561"/>
              </a:cubicBezTo>
              <a:cubicBezTo>
                <a:pt x="347" y="561"/>
                <a:pt x="347" y="561"/>
                <a:pt x="347" y="561"/>
              </a:cubicBezTo>
              <a:cubicBezTo>
                <a:pt x="347" y="455"/>
                <a:pt x="347" y="455"/>
                <a:pt x="347" y="455"/>
              </a:cubicBezTo>
              <a:cubicBezTo>
                <a:pt x="413" y="455"/>
                <a:pt x="413" y="455"/>
                <a:pt x="413" y="455"/>
              </a:cubicBezTo>
              <a:cubicBezTo>
                <a:pt x="516" y="455"/>
                <a:pt x="588" y="383"/>
                <a:pt x="588" y="280"/>
              </a:cubicBezTo>
              <a:cubicBezTo>
                <a:pt x="588" y="177"/>
                <a:pt x="516" y="105"/>
                <a:pt x="413" y="105"/>
              </a:cubicBezTo>
              <a:cubicBezTo>
                <a:pt x="347" y="105"/>
                <a:pt x="347" y="105"/>
                <a:pt x="347" y="105"/>
              </a:cubicBezTo>
              <a:cubicBezTo>
                <a:pt x="347" y="0"/>
                <a:pt x="347" y="0"/>
                <a:pt x="347" y="0"/>
              </a:cubicBezTo>
              <a:cubicBezTo>
                <a:pt x="413" y="0"/>
                <a:pt x="413" y="0"/>
                <a:pt x="413" y="0"/>
              </a:cubicBezTo>
              <a:cubicBezTo>
                <a:pt x="575" y="0"/>
                <a:pt x="693" y="118"/>
                <a:pt x="693" y="280"/>
              </a:cubicBezTo>
              <a:cubicBezTo>
                <a:pt x="693" y="280"/>
                <a:pt x="693" y="280"/>
                <a:pt x="693" y="280"/>
              </a:cubicBezTo>
              <a:cubicBezTo>
                <a:pt x="693" y="280"/>
                <a:pt x="693" y="280"/>
                <a:pt x="693" y="280"/>
              </a:cubicBezTo>
              <a:cubicBezTo>
                <a:pt x="693" y="280"/>
                <a:pt x="693" y="280"/>
                <a:pt x="693" y="280"/>
              </a:cubicBezTo>
              <a:close/>
              <a:moveTo>
                <a:pt x="693" y="101"/>
              </a:moveTo>
              <a:cubicBezTo>
                <a:pt x="820" y="101"/>
                <a:pt x="820" y="101"/>
                <a:pt x="820" y="101"/>
              </a:cubicBezTo>
              <a:cubicBezTo>
                <a:pt x="858" y="101"/>
                <a:pt x="884" y="109"/>
                <a:pt x="902" y="127"/>
              </a:cubicBezTo>
              <a:cubicBezTo>
                <a:pt x="919" y="144"/>
                <a:pt x="928" y="166"/>
                <a:pt x="928" y="191"/>
              </a:cubicBezTo>
              <a:cubicBezTo>
                <a:pt x="928" y="247"/>
                <a:pt x="879" y="281"/>
                <a:pt x="825" y="281"/>
              </a:cubicBezTo>
              <a:cubicBezTo>
                <a:pt x="793" y="281"/>
                <a:pt x="793" y="281"/>
                <a:pt x="793" y="281"/>
              </a:cubicBezTo>
              <a:cubicBezTo>
                <a:pt x="756" y="361"/>
                <a:pt x="756" y="361"/>
                <a:pt x="756" y="361"/>
              </a:cubicBezTo>
              <a:cubicBezTo>
                <a:pt x="963" y="576"/>
                <a:pt x="963" y="576"/>
                <a:pt x="963" y="576"/>
              </a:cubicBezTo>
              <a:cubicBezTo>
                <a:pt x="1044" y="508"/>
                <a:pt x="1044" y="508"/>
                <a:pt x="1044" y="508"/>
              </a:cubicBezTo>
              <a:cubicBezTo>
                <a:pt x="897" y="360"/>
                <a:pt x="897" y="360"/>
                <a:pt x="897" y="360"/>
              </a:cubicBezTo>
              <a:cubicBezTo>
                <a:pt x="978" y="345"/>
                <a:pt x="1033" y="271"/>
                <a:pt x="1033" y="193"/>
              </a:cubicBezTo>
              <a:cubicBezTo>
                <a:pt x="1033" y="135"/>
                <a:pt x="1017" y="90"/>
                <a:pt x="975" y="50"/>
              </a:cubicBezTo>
              <a:cubicBezTo>
                <a:pt x="932" y="10"/>
                <a:pt x="884" y="0"/>
                <a:pt x="812" y="0"/>
              </a:cubicBezTo>
              <a:cubicBezTo>
                <a:pt x="693" y="0"/>
                <a:pt x="693" y="0"/>
                <a:pt x="693" y="0"/>
              </a:cubicBezTo>
              <a:lnTo>
                <a:pt x="693" y="101"/>
              </a:lnTo>
              <a:close/>
              <a:moveTo>
                <a:pt x="350" y="224"/>
              </a:moveTo>
              <a:cubicBezTo>
                <a:pt x="114" y="224"/>
                <a:pt x="114" y="224"/>
                <a:pt x="114" y="224"/>
              </a:cubicBezTo>
              <a:cubicBezTo>
                <a:pt x="114" y="0"/>
                <a:pt x="114" y="0"/>
                <a:pt x="114" y="0"/>
              </a:cubicBezTo>
              <a:cubicBezTo>
                <a:pt x="0" y="0"/>
                <a:pt x="0" y="0"/>
                <a:pt x="0" y="0"/>
              </a:cubicBezTo>
              <a:cubicBezTo>
                <a:pt x="0" y="561"/>
                <a:pt x="0" y="561"/>
                <a:pt x="0" y="561"/>
              </a:cubicBezTo>
              <a:cubicBezTo>
                <a:pt x="114" y="561"/>
                <a:pt x="114" y="561"/>
                <a:pt x="114" y="561"/>
              </a:cubicBezTo>
              <a:cubicBezTo>
                <a:pt x="114" y="336"/>
                <a:pt x="114" y="336"/>
                <a:pt x="114" y="336"/>
              </a:cubicBezTo>
              <a:cubicBezTo>
                <a:pt x="350" y="336"/>
                <a:pt x="350" y="336"/>
                <a:pt x="350" y="336"/>
              </a:cubicBezTo>
              <a:lnTo>
                <a:pt x="350" y="224"/>
              </a:lnTo>
              <a:close/>
            </a:path>
          </a:pathLst>
        </a:custGeom>
        <a:solidFill>
          <a:schemeClr val="bg1"/>
        </a:solidFill>
        <a:ln>
          <a:noFill/>
        </a:ln>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375957</xdr:colOff>
      <xdr:row>14</xdr:row>
      <xdr:rowOff>17369</xdr:rowOff>
    </xdr:from>
    <xdr:to>
      <xdr:col>22</xdr:col>
      <xdr:colOff>368673</xdr:colOff>
      <xdr:row>32</xdr:row>
      <xdr:rowOff>63313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35057" y="2084294"/>
          <a:ext cx="5479116" cy="3303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4</xdr:row>
      <xdr:rowOff>0</xdr:rowOff>
    </xdr:from>
    <xdr:to>
      <xdr:col>43</xdr:col>
      <xdr:colOff>47625</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HDR_WordTheme">
  <a:themeElements>
    <a:clrScheme name="HDR_WORD-BrandingBright">
      <a:dk1>
        <a:sysClr val="windowText" lastClr="000000"/>
      </a:dk1>
      <a:lt1>
        <a:sysClr val="window" lastClr="FFFFFF"/>
      </a:lt1>
      <a:dk2>
        <a:srgbClr val="54585A"/>
      </a:dk2>
      <a:lt2>
        <a:srgbClr val="A8A99E"/>
      </a:lt2>
      <a:accent1>
        <a:srgbClr val="4298B5"/>
      </a:accent1>
      <a:accent2>
        <a:srgbClr val="C8102E"/>
      </a:accent2>
      <a:accent3>
        <a:srgbClr val="CA005D"/>
      </a:accent3>
      <a:accent4>
        <a:srgbClr val="FF8200"/>
      </a:accent4>
      <a:accent5>
        <a:srgbClr val="FFC600"/>
      </a:accent5>
      <a:accent6>
        <a:srgbClr val="78BE20"/>
      </a:accent6>
      <a:hlink>
        <a:srgbClr val="00549F"/>
      </a:hlink>
      <a:folHlink>
        <a:srgbClr val="6B1F7C"/>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txDef>
      <a:spPr>
        <a:noFill/>
        <a:ln w="6350">
          <a:noFill/>
        </a:ln>
        <a:effectLst/>
      </a:spPr>
      <a:bodyPr wrap="square" rtlCol="0"/>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s://www.nhtsa.gov/sites/nhtsa.dot.gov/files/documents/812429-hv_v2v_safetybenefits.pdf" TargetMode="External"/><Relationship Id="rId2" Type="http://schemas.openxmlformats.org/officeDocument/2006/relationships/hyperlink" Target="http://www.intrans.iastate.edu/reports/codes.pdf" TargetMode="External"/><Relationship Id="rId1" Type="http://schemas.openxmlformats.org/officeDocument/2006/relationships/hyperlink" Target="http://www.dot.gov/office-policy/transportation-policy/guidance-treatment-economic-value-statistical-lif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9.xml.rels><?xml version="1.0" encoding="UTF-8" standalone="yes"?>
<Relationships xmlns="http://schemas.openxmlformats.org/package/2006/relationships"><Relationship Id="rId2" Type="http://schemas.openxmlformats.org/officeDocument/2006/relationships/hyperlink" Target="https://mobility.tamu.edu/ums/report/" TargetMode="External"/><Relationship Id="rId1" Type="http://schemas.openxmlformats.org/officeDocument/2006/relationships/hyperlink" Target="https://www.transportation.gov/office-policy/transportation-policy/revised-departmental-guidance-valuation-travel-time-econom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www.epa.gov/sites/production/files/2016-12/documents/sc_co2_tsd_august_2016.pdf" TargetMode="External"/><Relationship Id="rId2" Type="http://schemas.openxmlformats.org/officeDocument/2006/relationships/hyperlink" Target="http://www.nhtsa.gov/staticfiles/rulemaking/pdf/cafe/FRIA_2017-2025.pdf" TargetMode="External"/><Relationship Id="rId1" Type="http://schemas.openxmlformats.org/officeDocument/2006/relationships/hyperlink" Target="http://www.vtpi.org/airpollution.xls%20(link%20does%20not%20always%20work)" TargetMode="External"/><Relationship Id="rId5" Type="http://schemas.openxmlformats.org/officeDocument/2006/relationships/hyperlink" Target="http://www.whitehouse.gov/sites/default/files/omb/inforeg/scc-tsd-final-july-2015.pdf" TargetMode="External"/><Relationship Id="rId4" Type="http://schemas.openxmlformats.org/officeDocument/2006/relationships/hyperlink" Target="http://www.whitehouse.gov/sites/default/files/omb/inforeg/scc-tsd-final-july-2015.pdf"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eia.gov/forecasts/aeo/index.cf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atri-online.org/wp-content/uploads/2017/10/ATRI-Operational-Costs-of-Trucking-2017-10-2017.pdf" TargetMode="External"/><Relationship Id="rId2" Type="http://schemas.openxmlformats.org/officeDocument/2006/relationships/hyperlink" Target="http://exchange.aaa.com/automobiles-travel/automobiles/driving-costs/" TargetMode="External"/><Relationship Id="rId1" Type="http://schemas.openxmlformats.org/officeDocument/2006/relationships/hyperlink" Target="https://www.fhwa.dot.gov/asset/hersst/pubs/tech/tech00.cf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2" Type="http://schemas.openxmlformats.org/officeDocument/2006/relationships/hyperlink" Target="https://www.fhwa.dot.gov/policy/otps/costallocation.cfm" TargetMode="External"/><Relationship Id="rId1" Type="http://schemas.openxmlformats.org/officeDocument/2006/relationships/hyperlink" Target="https://www.fhwa.dot.gov/policy/otps/costallocation.cfm"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transportation.gov/office-policy/transportation-policy/benefit-cost-analysis-guidance" TargetMode="External"/></Relationships>
</file>

<file path=xl/worksheets/_rels/sheet27.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bls.gov/cpi/" TargetMode="External"/><Relationship Id="rId7" Type="http://schemas.openxmlformats.org/officeDocument/2006/relationships/hyperlink" Target="https://www.bls.gov/cpi/" TargetMode="External"/><Relationship Id="rId2" Type="http://schemas.openxmlformats.org/officeDocument/2006/relationships/hyperlink" Target="http://www.bea.gov/iTable/iTable.cfm?ReqID=9&amp;step=1" TargetMode="External"/><Relationship Id="rId1" Type="http://schemas.openxmlformats.org/officeDocument/2006/relationships/hyperlink" Target="https://www.bls.gov/cpi/" TargetMode="External"/><Relationship Id="rId6" Type="http://schemas.openxmlformats.org/officeDocument/2006/relationships/hyperlink" Target="http://www.bls.gov/web/eci/ecconstnaics.txt" TargetMode="External"/><Relationship Id="rId5" Type="http://schemas.openxmlformats.org/officeDocument/2006/relationships/hyperlink" Target="https://www.bls.gov/cpi/" TargetMode="External"/><Relationship Id="rId4" Type="http://schemas.openxmlformats.org/officeDocument/2006/relationships/hyperlink" Target="https://www.bls.gov/ppi/"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hyperlink" Target="http://en.wikipedia.org/wiki/T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M26"/>
  <sheetViews>
    <sheetView showGridLines="0" tabSelected="1" workbookViewId="0"/>
  </sheetViews>
  <sheetFormatPr defaultColWidth="8.6640625" defaultRowHeight="14.4" x14ac:dyDescent="0.25"/>
  <sheetData>
    <row r="1" spans="1:13" x14ac:dyDescent="0.25">
      <c r="A1" s="721"/>
      <c r="B1" s="721"/>
      <c r="C1" s="721"/>
      <c r="D1" s="721"/>
      <c r="E1" s="721"/>
      <c r="F1" s="721"/>
      <c r="G1" s="721"/>
      <c r="H1" s="721"/>
      <c r="I1" s="721"/>
      <c r="J1" s="721"/>
      <c r="K1" s="721"/>
      <c r="L1" s="721"/>
      <c r="M1" s="721"/>
    </row>
    <row r="2" spans="1:13" x14ac:dyDescent="0.25">
      <c r="A2" s="721"/>
      <c r="B2" s="721"/>
      <c r="C2" s="721"/>
      <c r="D2" s="721"/>
      <c r="E2" s="721"/>
      <c r="F2" s="721"/>
      <c r="G2" s="721"/>
      <c r="H2" s="721"/>
      <c r="I2" s="721"/>
      <c r="J2" s="721"/>
      <c r="K2" s="721"/>
      <c r="L2" s="721"/>
      <c r="M2" s="721"/>
    </row>
    <row r="3" spans="1:13" x14ac:dyDescent="0.25">
      <c r="A3" s="721"/>
      <c r="B3" s="721"/>
      <c r="C3" s="721"/>
      <c r="D3" s="721"/>
      <c r="E3" s="721"/>
      <c r="F3" s="721"/>
      <c r="G3" s="721"/>
      <c r="H3" s="721"/>
      <c r="I3" s="721"/>
      <c r="J3" s="721"/>
      <c r="K3" s="721"/>
      <c r="L3" s="721"/>
      <c r="M3" s="721"/>
    </row>
    <row r="4" spans="1:13" ht="17.7" x14ac:dyDescent="0.25">
      <c r="A4" s="721"/>
      <c r="B4" s="1157" t="s">
        <v>1088</v>
      </c>
      <c r="C4" s="1157"/>
      <c r="D4" s="1157"/>
      <c r="E4" s="1157"/>
      <c r="F4" s="1157"/>
      <c r="G4" s="1157"/>
      <c r="H4" s="1157"/>
      <c r="I4" s="1157"/>
      <c r="J4" s="1157"/>
      <c r="K4" s="1157"/>
      <c r="L4" s="1157"/>
      <c r="M4" s="721"/>
    </row>
    <row r="5" spans="1:13" ht="17.7" x14ac:dyDescent="0.25">
      <c r="A5" s="721"/>
      <c r="B5" s="1157" t="s">
        <v>1041</v>
      </c>
      <c r="C5" s="1157"/>
      <c r="D5" s="1157"/>
      <c r="E5" s="1157"/>
      <c r="F5" s="1157"/>
      <c r="G5" s="1157"/>
      <c r="H5" s="1157"/>
      <c r="I5" s="1157"/>
      <c r="J5" s="1157"/>
      <c r="K5" s="1157"/>
      <c r="L5" s="1157"/>
      <c r="M5" s="721"/>
    </row>
    <row r="6" spans="1:13" ht="17.7" x14ac:dyDescent="0.25">
      <c r="A6" s="721"/>
      <c r="B6" s="1158">
        <v>43661</v>
      </c>
      <c r="C6" s="1158"/>
      <c r="D6" s="1158"/>
      <c r="E6" s="1158"/>
      <c r="F6" s="1158"/>
      <c r="G6" s="1158"/>
      <c r="H6" s="1158"/>
      <c r="I6" s="1158"/>
      <c r="J6" s="1158"/>
      <c r="K6" s="1158"/>
      <c r="L6" s="1158"/>
      <c r="M6" s="721"/>
    </row>
    <row r="7" spans="1:13" x14ac:dyDescent="0.25">
      <c r="A7" s="721"/>
      <c r="B7" s="721"/>
      <c r="C7" s="721"/>
      <c r="D7" s="721"/>
      <c r="E7" s="721"/>
      <c r="F7" s="721"/>
      <c r="G7" s="721"/>
      <c r="H7" s="721"/>
      <c r="I7" s="721"/>
      <c r="J7" s="721"/>
      <c r="K7" s="721"/>
      <c r="L7" s="721"/>
      <c r="M7" s="721"/>
    </row>
    <row r="8" spans="1:13" x14ac:dyDescent="0.25">
      <c r="A8" s="721"/>
      <c r="B8" s="721"/>
      <c r="C8" s="721"/>
      <c r="D8" s="721"/>
      <c r="E8" s="721"/>
      <c r="F8" s="721"/>
      <c r="G8" s="721"/>
      <c r="H8" s="721"/>
      <c r="I8" s="721"/>
      <c r="J8" s="721"/>
      <c r="K8" s="721"/>
      <c r="L8" s="721"/>
      <c r="M8" s="721"/>
    </row>
    <row r="9" spans="1:13" x14ac:dyDescent="0.25">
      <c r="A9" s="721"/>
      <c r="B9" s="721"/>
      <c r="C9" s="721"/>
      <c r="D9" s="721"/>
      <c r="E9" s="721"/>
      <c r="F9" s="721"/>
      <c r="G9" s="721"/>
      <c r="H9" s="721"/>
      <c r="I9" s="721"/>
      <c r="J9" s="721"/>
      <c r="K9" s="721"/>
      <c r="L9" s="721"/>
      <c r="M9" s="721"/>
    </row>
    <row r="10" spans="1:13" x14ac:dyDescent="0.25">
      <c r="A10" s="721"/>
      <c r="B10" s="721"/>
      <c r="C10" s="721"/>
      <c r="D10" s="721"/>
      <c r="E10" s="721"/>
      <c r="F10" s="721"/>
      <c r="G10" s="721"/>
      <c r="H10" s="721"/>
      <c r="I10" s="721"/>
      <c r="J10" s="721"/>
      <c r="K10" s="721"/>
      <c r="L10" s="721"/>
      <c r="M10" s="721"/>
    </row>
    <row r="11" spans="1:13" x14ac:dyDescent="0.25">
      <c r="A11" s="721"/>
      <c r="B11" s="721"/>
      <c r="C11" s="721"/>
      <c r="D11" s="721"/>
      <c r="E11" s="721"/>
      <c r="F11" s="721"/>
      <c r="G11" s="721"/>
      <c r="H11" s="721"/>
      <c r="I11" s="721"/>
      <c r="J11" s="721"/>
      <c r="K11" s="721"/>
      <c r="L11" s="721"/>
      <c r="M11" s="721"/>
    </row>
    <row r="12" spans="1:13" x14ac:dyDescent="0.25">
      <c r="A12" s="721"/>
      <c r="B12" s="721"/>
      <c r="C12" s="721"/>
      <c r="D12" s="721"/>
      <c r="E12" s="721"/>
      <c r="F12" s="721"/>
      <c r="G12" s="721"/>
      <c r="H12" s="721"/>
      <c r="I12" s="721"/>
      <c r="J12" s="721"/>
      <c r="K12" s="721"/>
      <c r="L12" s="721"/>
      <c r="M12" s="721"/>
    </row>
    <row r="13" spans="1:13" ht="15.05" x14ac:dyDescent="0.25">
      <c r="A13" s="721"/>
      <c r="B13" s="1159" t="s">
        <v>607</v>
      </c>
      <c r="C13" s="1159"/>
      <c r="D13" s="722"/>
      <c r="E13" s="723" t="s">
        <v>483</v>
      </c>
      <c r="F13" s="721"/>
      <c r="G13" s="721"/>
      <c r="H13" s="721"/>
      <c r="I13" s="721"/>
      <c r="J13" s="721"/>
      <c r="K13" s="721"/>
      <c r="L13" s="721"/>
      <c r="M13" s="721"/>
    </row>
    <row r="14" spans="1:13" x14ac:dyDescent="0.25">
      <c r="A14" s="721"/>
      <c r="B14" s="1156" t="str">
        <f>"The Model is provided to the "&amp;Client.Name&amp;" on the basis that it is strictly private and confidential. The Recipients agree to not disclose that information to any person or entity except with the prior written consent of HDR Inc. (HDR) or as required by law."</f>
        <v>The Model is provided to the City of Minot on the basis that it is strictly private and confidential. The Recipients agree to not disclose that information to any person or entity except with the prior written consent of HDR Inc. (HDR) or as required by law.</v>
      </c>
      <c r="C14" s="1156"/>
      <c r="D14" s="1156"/>
      <c r="E14" s="1156"/>
      <c r="F14" s="1156"/>
      <c r="G14" s="1156"/>
      <c r="H14" s="1156"/>
      <c r="I14" s="1156"/>
      <c r="J14" s="1156"/>
      <c r="K14" s="1156"/>
      <c r="L14" s="1156"/>
      <c r="M14" s="721"/>
    </row>
    <row r="15" spans="1:13" x14ac:dyDescent="0.25">
      <c r="A15" s="721"/>
      <c r="B15" s="1156"/>
      <c r="C15" s="1156"/>
      <c r="D15" s="1156"/>
      <c r="E15" s="1156"/>
      <c r="F15" s="1156"/>
      <c r="G15" s="1156"/>
      <c r="H15" s="1156"/>
      <c r="I15" s="1156"/>
      <c r="J15" s="1156"/>
      <c r="K15" s="1156"/>
      <c r="L15" s="1156"/>
      <c r="M15" s="721"/>
    </row>
    <row r="16" spans="1:13" x14ac:dyDescent="0.25">
      <c r="A16" s="721"/>
      <c r="B16" s="1156"/>
      <c r="C16" s="1156"/>
      <c r="D16" s="1156"/>
      <c r="E16" s="1156"/>
      <c r="F16" s="1156"/>
      <c r="G16" s="1156"/>
      <c r="H16" s="1156"/>
      <c r="I16" s="1156"/>
      <c r="J16" s="1156"/>
      <c r="K16" s="1156"/>
      <c r="L16" s="1156"/>
      <c r="M16" s="721"/>
    </row>
    <row r="17" spans="1:13" x14ac:dyDescent="0.25">
      <c r="A17" s="721"/>
      <c r="B17" s="1156" t="str">
        <f>"HDR retains all intellectual property with respect to this Model.  The Recipients agree to use this Model only for the purpose of performing analysis in support of the "&amp;Project.Name&amp;". The Model must not be used for any other purpose. "</f>
        <v xml:space="preserve">HDR retains all intellectual property with respect to this Model.  The Recipients agree to use this Model only for the purpose of performing analysis in support of the 3rd Street NE Bridge Replacement and Rail Raise. The Model must not be used for any other purpose. </v>
      </c>
      <c r="C17" s="1156"/>
      <c r="D17" s="1156"/>
      <c r="E17" s="1156"/>
      <c r="F17" s="1156"/>
      <c r="G17" s="1156"/>
      <c r="H17" s="1156"/>
      <c r="I17" s="1156"/>
      <c r="J17" s="1156"/>
      <c r="K17" s="1156"/>
      <c r="L17" s="1156"/>
      <c r="M17" s="721"/>
    </row>
    <row r="18" spans="1:13" x14ac:dyDescent="0.25">
      <c r="A18" s="721"/>
      <c r="B18" s="1156"/>
      <c r="C18" s="1156"/>
      <c r="D18" s="1156"/>
      <c r="E18" s="1156"/>
      <c r="F18" s="1156"/>
      <c r="G18" s="1156"/>
      <c r="H18" s="1156"/>
      <c r="I18" s="1156"/>
      <c r="J18" s="1156"/>
      <c r="K18" s="1156"/>
      <c r="L18" s="1156"/>
      <c r="M18" s="721"/>
    </row>
    <row r="19" spans="1:13" x14ac:dyDescent="0.25">
      <c r="A19" s="721"/>
      <c r="B19" s="1156"/>
      <c r="C19" s="1156"/>
      <c r="D19" s="1156"/>
      <c r="E19" s="1156"/>
      <c r="F19" s="1156"/>
      <c r="G19" s="1156"/>
      <c r="H19" s="1156"/>
      <c r="I19" s="1156"/>
      <c r="J19" s="1156"/>
      <c r="K19" s="1156"/>
      <c r="L19" s="1156"/>
      <c r="M19" s="721"/>
    </row>
    <row r="20" spans="1:13" x14ac:dyDescent="0.25">
      <c r="A20" s="721"/>
      <c r="B20" s="1156" t="s">
        <v>608</v>
      </c>
      <c r="C20" s="1156"/>
      <c r="D20" s="1156"/>
      <c r="E20" s="1156"/>
      <c r="F20" s="1156"/>
      <c r="G20" s="1156"/>
      <c r="H20" s="1156"/>
      <c r="I20" s="1156"/>
      <c r="J20" s="1156"/>
      <c r="K20" s="1156"/>
      <c r="L20" s="1156"/>
      <c r="M20" s="721"/>
    </row>
    <row r="21" spans="1:13" x14ac:dyDescent="0.25">
      <c r="A21" s="721"/>
      <c r="B21" s="1156"/>
      <c r="C21" s="1156"/>
      <c r="D21" s="1156"/>
      <c r="E21" s="1156"/>
      <c r="F21" s="1156"/>
      <c r="G21" s="1156"/>
      <c r="H21" s="1156"/>
      <c r="I21" s="1156"/>
      <c r="J21" s="1156"/>
      <c r="K21" s="1156"/>
      <c r="L21" s="1156"/>
      <c r="M21" s="721"/>
    </row>
    <row r="22" spans="1:13" x14ac:dyDescent="0.25">
      <c r="A22" s="721"/>
      <c r="B22" s="1156" t="s">
        <v>609</v>
      </c>
      <c r="C22" s="1156"/>
      <c r="D22" s="1156"/>
      <c r="E22" s="1156"/>
      <c r="F22" s="1156"/>
      <c r="G22" s="1156"/>
      <c r="H22" s="1156"/>
      <c r="I22" s="1156"/>
      <c r="J22" s="1156"/>
      <c r="K22" s="1156"/>
      <c r="L22" s="1156"/>
      <c r="M22" s="721"/>
    </row>
    <row r="23" spans="1:13" x14ac:dyDescent="0.25">
      <c r="A23" s="721"/>
      <c r="B23" s="1156"/>
      <c r="C23" s="1156"/>
      <c r="D23" s="1156"/>
      <c r="E23" s="1156"/>
      <c r="F23" s="1156"/>
      <c r="G23" s="1156"/>
      <c r="H23" s="1156"/>
      <c r="I23" s="1156"/>
      <c r="J23" s="1156"/>
      <c r="K23" s="1156"/>
      <c r="L23" s="1156"/>
      <c r="M23" s="721"/>
    </row>
    <row r="24" spans="1:13" x14ac:dyDescent="0.25">
      <c r="A24" s="721"/>
      <c r="B24" s="1156"/>
      <c r="C24" s="1156"/>
      <c r="D24" s="1156"/>
      <c r="E24" s="1156"/>
      <c r="F24" s="1156"/>
      <c r="G24" s="1156"/>
      <c r="H24" s="1156"/>
      <c r="I24" s="1156"/>
      <c r="J24" s="1156"/>
      <c r="K24" s="1156"/>
      <c r="L24" s="1156"/>
      <c r="M24" s="721"/>
    </row>
    <row r="25" spans="1:13" x14ac:dyDescent="0.25">
      <c r="A25" s="721"/>
      <c r="B25" s="1156"/>
      <c r="C25" s="1156"/>
      <c r="D25" s="1156"/>
      <c r="E25" s="1156"/>
      <c r="F25" s="1156"/>
      <c r="G25" s="1156"/>
      <c r="H25" s="1156"/>
      <c r="I25" s="1156"/>
      <c r="J25" s="1156"/>
      <c r="K25" s="1156"/>
      <c r="L25" s="1156"/>
      <c r="M25" s="721"/>
    </row>
    <row r="26" spans="1:13" x14ac:dyDescent="0.25">
      <c r="A26" s="721"/>
      <c r="B26" s="724"/>
      <c r="C26" s="724"/>
      <c r="D26" s="724"/>
      <c r="E26" s="724"/>
      <c r="F26" s="724"/>
      <c r="G26" s="724"/>
      <c r="H26" s="724"/>
      <c r="I26" s="724"/>
      <c r="J26" s="724"/>
      <c r="K26" s="724"/>
      <c r="L26" s="724"/>
      <c r="M26" s="721"/>
    </row>
  </sheetData>
  <mergeCells count="8">
    <mergeCell ref="B20:L21"/>
    <mergeCell ref="B22:L25"/>
    <mergeCell ref="B4:L4"/>
    <mergeCell ref="B5:L5"/>
    <mergeCell ref="B6:L6"/>
    <mergeCell ref="B13:C13"/>
    <mergeCell ref="B14:L16"/>
    <mergeCell ref="B17:L19"/>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P61"/>
  <sheetViews>
    <sheetView zoomScale="90" zoomScaleNormal="90" workbookViewId="0">
      <pane xSplit="3" ySplit="4" topLeftCell="D5" activePane="bottomRight" state="frozen"/>
      <selection activeCell="D38" sqref="D38"/>
      <selection pane="topRight" activeCell="D38" sqref="D38"/>
      <selection pane="bottomLeft" activeCell="D38" sqref="D38"/>
      <selection pane="bottomRight"/>
    </sheetView>
  </sheetViews>
  <sheetFormatPr defaultRowHeight="14.4" outlineLevelCol="1" x14ac:dyDescent="0.25"/>
  <cols>
    <col min="1" max="1" width="2" customWidth="1"/>
    <col min="2" max="2" width="53.33203125" customWidth="1"/>
    <col min="3" max="3" width="18.77734375" customWidth="1"/>
    <col min="4" max="4" width="51.44140625" customWidth="1" outlineLevel="1"/>
    <col min="5" max="5" width="17" customWidth="1" outlineLevel="1"/>
    <col min="6" max="6" width="12" customWidth="1" outlineLevel="1"/>
    <col min="7" max="8" width="11.88671875" customWidth="1"/>
    <col min="9" max="9" width="11.88671875" customWidth="1" collapsed="1"/>
    <col min="10" max="41" width="11.88671875" customWidth="1"/>
    <col min="42" max="42" width="10.77734375" customWidth="1"/>
  </cols>
  <sheetData>
    <row r="1" spans="2:42" ht="8.1999999999999993" customHeight="1" x14ac:dyDescent="0.25"/>
    <row r="2" spans="2:42" ht="17.7" x14ac:dyDescent="0.3">
      <c r="B2" s="641" t="s">
        <v>549</v>
      </c>
    </row>
    <row r="3" spans="2:42" x14ac:dyDescent="0.25">
      <c r="C3" s="645" t="s">
        <v>544</v>
      </c>
      <c r="D3" s="645"/>
      <c r="E3" s="645"/>
      <c r="F3" s="645"/>
      <c r="G3" s="645"/>
    </row>
    <row r="4" spans="2:42" x14ac:dyDescent="0.25">
      <c r="C4" s="648">
        <f>Assumptions!$D$10</f>
        <v>2018</v>
      </c>
      <c r="D4" s="658"/>
      <c r="E4" s="658"/>
      <c r="F4" s="658"/>
      <c r="G4" s="672">
        <v>2019</v>
      </c>
      <c r="H4" s="672">
        <f t="shared" ref="H4:AM4" si="0">G4+1</f>
        <v>2020</v>
      </c>
      <c r="I4" s="672">
        <f t="shared" si="0"/>
        <v>2021</v>
      </c>
      <c r="J4" s="672">
        <f t="shared" si="0"/>
        <v>2022</v>
      </c>
      <c r="K4" s="672">
        <f t="shared" si="0"/>
        <v>2023</v>
      </c>
      <c r="L4" s="672">
        <f t="shared" si="0"/>
        <v>2024</v>
      </c>
      <c r="M4" s="672">
        <f t="shared" si="0"/>
        <v>2025</v>
      </c>
      <c r="N4" s="672">
        <f t="shared" si="0"/>
        <v>2026</v>
      </c>
      <c r="O4" s="672">
        <f t="shared" si="0"/>
        <v>2027</v>
      </c>
      <c r="P4" s="672">
        <f t="shared" si="0"/>
        <v>2028</v>
      </c>
      <c r="Q4" s="672">
        <f t="shared" si="0"/>
        <v>2029</v>
      </c>
      <c r="R4" s="672">
        <f t="shared" si="0"/>
        <v>2030</v>
      </c>
      <c r="S4" s="672">
        <f t="shared" si="0"/>
        <v>2031</v>
      </c>
      <c r="T4" s="672">
        <f t="shared" si="0"/>
        <v>2032</v>
      </c>
      <c r="U4" s="672">
        <f t="shared" si="0"/>
        <v>2033</v>
      </c>
      <c r="V4" s="672">
        <f t="shared" si="0"/>
        <v>2034</v>
      </c>
      <c r="W4" s="672">
        <f t="shared" si="0"/>
        <v>2035</v>
      </c>
      <c r="X4" s="672">
        <f t="shared" si="0"/>
        <v>2036</v>
      </c>
      <c r="Y4" s="672">
        <f t="shared" si="0"/>
        <v>2037</v>
      </c>
      <c r="Z4" s="672">
        <f t="shared" si="0"/>
        <v>2038</v>
      </c>
      <c r="AA4" s="672">
        <f t="shared" si="0"/>
        <v>2039</v>
      </c>
      <c r="AB4" s="672">
        <f t="shared" si="0"/>
        <v>2040</v>
      </c>
      <c r="AC4" s="672">
        <f t="shared" si="0"/>
        <v>2041</v>
      </c>
      <c r="AD4" s="672">
        <f t="shared" si="0"/>
        <v>2042</v>
      </c>
      <c r="AE4" s="672">
        <f t="shared" si="0"/>
        <v>2043</v>
      </c>
      <c r="AF4" s="672">
        <f t="shared" si="0"/>
        <v>2044</v>
      </c>
      <c r="AG4" s="672">
        <f t="shared" si="0"/>
        <v>2045</v>
      </c>
      <c r="AH4" s="672">
        <f t="shared" si="0"/>
        <v>2046</v>
      </c>
      <c r="AI4" s="672">
        <f t="shared" si="0"/>
        <v>2047</v>
      </c>
      <c r="AJ4" s="672">
        <f t="shared" si="0"/>
        <v>2048</v>
      </c>
      <c r="AK4" s="672">
        <f t="shared" si="0"/>
        <v>2049</v>
      </c>
      <c r="AL4" s="672">
        <f t="shared" si="0"/>
        <v>2050</v>
      </c>
      <c r="AM4" s="672">
        <f t="shared" si="0"/>
        <v>2051</v>
      </c>
      <c r="AN4" s="672">
        <f t="shared" ref="AN4" si="1">AM4+1</f>
        <v>2052</v>
      </c>
      <c r="AO4" s="672">
        <f t="shared" ref="AO4" si="2">AN4+1</f>
        <v>2053</v>
      </c>
      <c r="AP4" s="672">
        <f t="shared" ref="AP4" si="3">AO4+1</f>
        <v>2054</v>
      </c>
    </row>
    <row r="5" spans="2:42" s="657" customFormat="1" x14ac:dyDescent="0.25">
      <c r="B5" s="659" t="s">
        <v>555</v>
      </c>
      <c r="C5" s="658"/>
      <c r="D5" s="658"/>
      <c r="E5" s="658"/>
      <c r="F5" s="673"/>
      <c r="G5" s="673">
        <f>IF(AND(G4&gt;=Assumptions!$D$12,G4&lt;=Assumptions!$D$14),1,0)</f>
        <v>0</v>
      </c>
      <c r="H5" s="673">
        <f>IF(AND(H4&gt;=Assumptions!$D$12,H4&lt;=Assumptions!$D$14),1,0)</f>
        <v>0</v>
      </c>
      <c r="I5" s="673">
        <f>IF(AND(I4&gt;=Assumptions!$D$12,I4&lt;=Assumptions!$D$14),1,0)</f>
        <v>0</v>
      </c>
      <c r="J5" s="673">
        <f>IF(AND(J4&gt;=Assumptions!$D$12,J4&lt;=Assumptions!$D$14),1,0)</f>
        <v>0</v>
      </c>
      <c r="K5" s="673">
        <f>IF(AND(K4&gt;=Assumptions!$D$12,K4&lt;=Assumptions!$D$14),1,0)</f>
        <v>0</v>
      </c>
      <c r="L5" s="673">
        <f>IF(AND(L4&gt;=Assumptions!$D$12,L4&lt;=Assumptions!$D$14),1,0)</f>
        <v>0</v>
      </c>
      <c r="M5" s="673">
        <f>IF(AND(M4&gt;=Assumptions!$D$12,M4&lt;=Assumptions!$D$14),1,0)</f>
        <v>1</v>
      </c>
      <c r="N5" s="673">
        <f>IF(AND(N4&gt;=Assumptions!$D$12,N4&lt;=Assumptions!$D$14),1,0)</f>
        <v>1</v>
      </c>
      <c r="O5" s="673">
        <f>IF(AND(O4&gt;=Assumptions!$D$12,O4&lt;=Assumptions!$D$14),1,0)</f>
        <v>1</v>
      </c>
      <c r="P5" s="673">
        <f>IF(AND(P4&gt;=Assumptions!$D$12,P4&lt;=Assumptions!$D$14),1,0)</f>
        <v>1</v>
      </c>
      <c r="Q5" s="673">
        <f>IF(AND(Q4&gt;=Assumptions!$D$12,Q4&lt;=Assumptions!$D$14),1,0)</f>
        <v>1</v>
      </c>
      <c r="R5" s="673">
        <f>IF(AND(R4&gt;=Assumptions!$D$12,R4&lt;=Assumptions!$D$14),1,0)</f>
        <v>1</v>
      </c>
      <c r="S5" s="673">
        <f>IF(AND(S4&gt;=Assumptions!$D$12,S4&lt;=Assumptions!$D$14),1,0)</f>
        <v>1</v>
      </c>
      <c r="T5" s="673">
        <f>IF(AND(T4&gt;=Assumptions!$D$12,T4&lt;=Assumptions!$D$14),1,0)</f>
        <v>1</v>
      </c>
      <c r="U5" s="673">
        <f>IF(AND(U4&gt;=Assumptions!$D$12,U4&lt;=Assumptions!$D$14),1,0)</f>
        <v>1</v>
      </c>
      <c r="V5" s="673">
        <f>IF(AND(V4&gt;=Assumptions!$D$12,V4&lt;=Assumptions!$D$14),1,0)</f>
        <v>1</v>
      </c>
      <c r="W5" s="673">
        <f>IF(AND(W4&gt;=Assumptions!$D$12,W4&lt;=Assumptions!$D$14),1,0)</f>
        <v>1</v>
      </c>
      <c r="X5" s="673">
        <f>IF(AND(X4&gt;=Assumptions!$D$12,X4&lt;=Assumptions!$D$14),1,0)</f>
        <v>1</v>
      </c>
      <c r="Y5" s="673">
        <f>IF(AND(Y4&gt;=Assumptions!$D$12,Y4&lt;=Assumptions!$D$14),1,0)</f>
        <v>1</v>
      </c>
      <c r="Z5" s="673">
        <f>IF(AND(Z4&gt;=Assumptions!$D$12,Z4&lt;=Assumptions!$D$14),1,0)</f>
        <v>1</v>
      </c>
      <c r="AA5" s="673">
        <f>IF(AND(AA4&gt;=Assumptions!$D$12,AA4&lt;=Assumptions!$D$14),1,0)</f>
        <v>1</v>
      </c>
      <c r="AB5" s="673">
        <f>IF(AND(AB4&gt;=Assumptions!$D$12,AB4&lt;=Assumptions!$D$14),1,0)</f>
        <v>1</v>
      </c>
      <c r="AC5" s="673">
        <f>IF(AND(AC4&gt;=Assumptions!$D$12,AC4&lt;=Assumptions!$D$14),1,0)</f>
        <v>1</v>
      </c>
      <c r="AD5" s="673">
        <f>IF(AND(AD4&gt;=Assumptions!$D$12,AD4&lt;=Assumptions!$D$14),1,0)</f>
        <v>1</v>
      </c>
      <c r="AE5" s="673">
        <f>IF(AND(AE4&gt;=Assumptions!$D$12,AE4&lt;=Assumptions!$D$14),1,0)</f>
        <v>1</v>
      </c>
      <c r="AF5" s="673">
        <f>IF(AND(AF4&gt;=Assumptions!$D$12,AF4&lt;=Assumptions!$D$14),1,0)</f>
        <v>1</v>
      </c>
      <c r="AG5" s="673">
        <f>IF(AND(AG4&gt;=Assumptions!$D$12,AG4&lt;=Assumptions!$D$14),1,0)</f>
        <v>1</v>
      </c>
      <c r="AH5" s="673">
        <f>IF(AND(AH4&gt;=Assumptions!$D$12,AH4&lt;=Assumptions!$D$14),1,0)</f>
        <v>1</v>
      </c>
      <c r="AI5" s="673">
        <f>IF(AND(AI4&gt;=Assumptions!$D$12,AI4&lt;=Assumptions!$D$14),1,0)</f>
        <v>1</v>
      </c>
      <c r="AJ5" s="673">
        <f>IF(AND(AJ4&gt;=Assumptions!$D$12,AJ4&lt;=Assumptions!$D$14),1,0)</f>
        <v>1</v>
      </c>
      <c r="AK5" s="673">
        <f>IF(AND(AK4&gt;=Assumptions!$D$12,AK4&lt;=Assumptions!$D$14),1,0)</f>
        <v>1</v>
      </c>
      <c r="AL5" s="673">
        <f>IF(AND(AL4&gt;=Assumptions!$D$12,AL4&lt;=Assumptions!$D$14),1,0)</f>
        <v>1</v>
      </c>
      <c r="AM5" s="673">
        <f>IF(AND(AM4&gt;=Assumptions!$D$12,AM4&lt;=Assumptions!$D$14),1,0)</f>
        <v>1</v>
      </c>
      <c r="AN5" s="673">
        <f>IF(AND(AN4&gt;=Assumptions!$D$12,AN4&lt;=Assumptions!$D$14),1,0)</f>
        <v>1</v>
      </c>
      <c r="AO5" s="673">
        <f>IF(AND(AO4&gt;=Assumptions!$D$12,AO4&lt;=Assumptions!$D$14),1,0)</f>
        <v>1</v>
      </c>
      <c r="AP5" s="673">
        <f>IF(AND(AP4&gt;=Assumptions!$D$12,AP4&lt;=Assumptions!$D$14),1,0)</f>
        <v>1</v>
      </c>
    </row>
    <row r="6" spans="2:42" s="650" customFormat="1" x14ac:dyDescent="0.25">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row>
    <row r="7" spans="2:42" s="657" customFormat="1" x14ac:dyDescent="0.25">
      <c r="B7" s="881" t="s">
        <v>734</v>
      </c>
      <c r="C7" s="809"/>
      <c r="D7" s="835"/>
      <c r="E7" s="836"/>
      <c r="F7" s="800"/>
      <c r="G7" s="800"/>
      <c r="H7" s="800"/>
      <c r="I7" s="810"/>
      <c r="J7" s="810"/>
      <c r="K7" s="810"/>
      <c r="L7" s="810"/>
      <c r="M7" s="810"/>
      <c r="N7" s="810"/>
      <c r="O7" s="810"/>
      <c r="P7" s="810"/>
      <c r="Q7" s="810"/>
      <c r="R7" s="810"/>
      <c r="S7" s="810"/>
      <c r="T7" s="810"/>
      <c r="U7" s="810"/>
      <c r="V7" s="810"/>
      <c r="W7" s="810"/>
      <c r="X7" s="810"/>
      <c r="Y7" s="810"/>
      <c r="Z7" s="810"/>
      <c r="AA7" s="810"/>
      <c r="AB7" s="810"/>
      <c r="AC7" s="810"/>
      <c r="AD7" s="810"/>
      <c r="AE7" s="810"/>
      <c r="AF7" s="810"/>
      <c r="AG7" s="810"/>
      <c r="AH7" s="810"/>
      <c r="AI7" s="810"/>
      <c r="AJ7" s="810"/>
      <c r="AK7" s="810"/>
      <c r="AL7" s="810"/>
      <c r="AM7" s="810"/>
      <c r="AN7" s="800"/>
      <c r="AO7" s="800"/>
      <c r="AP7" s="800"/>
    </row>
    <row r="8" spans="2:42" s="657" customFormat="1" x14ac:dyDescent="0.25">
      <c r="B8" s="777"/>
      <c r="C8" s="771"/>
      <c r="E8" s="784">
        <v>2017</v>
      </c>
      <c r="F8" s="784">
        <v>2037</v>
      </c>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0"/>
      <c r="AK8" s="750"/>
      <c r="AL8" s="750"/>
      <c r="AM8" s="750"/>
    </row>
    <row r="9" spans="2:42" s="660" customFormat="1" x14ac:dyDescent="0.25">
      <c r="B9" s="816" t="s">
        <v>1064</v>
      </c>
      <c r="C9" s="797">
        <f>SUM(G9:AO9)</f>
        <v>101086750</v>
      </c>
      <c r="D9" s="817" t="s">
        <v>730</v>
      </c>
      <c r="E9" s="1007">
        <f>Assumptions!$D$42</f>
        <v>9000</v>
      </c>
      <c r="F9" s="1007">
        <f>Assumptions!$D$43</f>
        <v>9500</v>
      </c>
      <c r="G9" s="818">
        <f t="shared" ref="G9:AP9" si="4">TREND($E$9:$F$9,$E$8:$F$8,G4)*$E$13*G5</f>
        <v>0</v>
      </c>
      <c r="H9" s="818">
        <f t="shared" si="4"/>
        <v>0</v>
      </c>
      <c r="I9" s="818">
        <f t="shared" si="4"/>
        <v>0</v>
      </c>
      <c r="J9" s="818">
        <f t="shared" si="4"/>
        <v>0</v>
      </c>
      <c r="K9" s="818">
        <f t="shared" si="4"/>
        <v>0</v>
      </c>
      <c r="L9" s="818">
        <f t="shared" si="4"/>
        <v>0</v>
      </c>
      <c r="M9" s="818">
        <f t="shared" si="4"/>
        <v>3358000</v>
      </c>
      <c r="N9" s="818">
        <f t="shared" si="4"/>
        <v>3367125</v>
      </c>
      <c r="O9" s="818">
        <f t="shared" si="4"/>
        <v>3376250</v>
      </c>
      <c r="P9" s="818">
        <f t="shared" si="4"/>
        <v>3385375</v>
      </c>
      <c r="Q9" s="818">
        <f t="shared" si="4"/>
        <v>3394500</v>
      </c>
      <c r="R9" s="818">
        <f t="shared" si="4"/>
        <v>3403625</v>
      </c>
      <c r="S9" s="818">
        <f t="shared" si="4"/>
        <v>3412750</v>
      </c>
      <c r="T9" s="818">
        <f t="shared" si="4"/>
        <v>3421875</v>
      </c>
      <c r="U9" s="818">
        <f t="shared" si="4"/>
        <v>3431000</v>
      </c>
      <c r="V9" s="818">
        <f t="shared" si="4"/>
        <v>3440125</v>
      </c>
      <c r="W9" s="818">
        <f t="shared" si="4"/>
        <v>3449250</v>
      </c>
      <c r="X9" s="818">
        <f t="shared" si="4"/>
        <v>3458375</v>
      </c>
      <c r="Y9" s="818">
        <f t="shared" si="4"/>
        <v>3467500</v>
      </c>
      <c r="Z9" s="818">
        <f t="shared" si="4"/>
        <v>3476625</v>
      </c>
      <c r="AA9" s="818">
        <f t="shared" si="4"/>
        <v>3485750</v>
      </c>
      <c r="AB9" s="818">
        <f t="shared" si="4"/>
        <v>3494875</v>
      </c>
      <c r="AC9" s="818">
        <f t="shared" si="4"/>
        <v>3504000</v>
      </c>
      <c r="AD9" s="818">
        <f t="shared" si="4"/>
        <v>3513125</v>
      </c>
      <c r="AE9" s="818">
        <f t="shared" si="4"/>
        <v>3522250</v>
      </c>
      <c r="AF9" s="818">
        <f t="shared" si="4"/>
        <v>3531375</v>
      </c>
      <c r="AG9" s="818">
        <f t="shared" si="4"/>
        <v>3540500</v>
      </c>
      <c r="AH9" s="818">
        <f t="shared" si="4"/>
        <v>3549625</v>
      </c>
      <c r="AI9" s="818">
        <f t="shared" si="4"/>
        <v>3558750</v>
      </c>
      <c r="AJ9" s="818">
        <f t="shared" si="4"/>
        <v>3567875</v>
      </c>
      <c r="AK9" s="818">
        <f t="shared" si="4"/>
        <v>3577000</v>
      </c>
      <c r="AL9" s="818">
        <f t="shared" si="4"/>
        <v>3586125</v>
      </c>
      <c r="AM9" s="818">
        <f t="shared" si="4"/>
        <v>3595250</v>
      </c>
      <c r="AN9" s="818">
        <f t="shared" si="4"/>
        <v>3604375</v>
      </c>
      <c r="AO9" s="818">
        <f t="shared" si="4"/>
        <v>3613500</v>
      </c>
      <c r="AP9" s="818">
        <f t="shared" si="4"/>
        <v>3622625</v>
      </c>
    </row>
    <row r="10" spans="2:42" s="657" customFormat="1" x14ac:dyDescent="0.25">
      <c r="B10" s="781" t="s">
        <v>826</v>
      </c>
      <c r="C10" s="780">
        <f>SUM(G10:AO10)</f>
        <v>100075882.5</v>
      </c>
      <c r="D10" s="785" t="s">
        <v>731</v>
      </c>
      <c r="E10" s="1008">
        <f>1-E11</f>
        <v>0.99</v>
      </c>
      <c r="F10" s="660"/>
      <c r="G10" s="782">
        <f t="shared" ref="G10:AO10" si="5">G9*$E$10</f>
        <v>0</v>
      </c>
      <c r="H10" s="782">
        <f t="shared" si="5"/>
        <v>0</v>
      </c>
      <c r="I10" s="782">
        <f t="shared" si="5"/>
        <v>0</v>
      </c>
      <c r="J10" s="782">
        <f t="shared" si="5"/>
        <v>0</v>
      </c>
      <c r="K10" s="782">
        <f t="shared" si="5"/>
        <v>0</v>
      </c>
      <c r="L10" s="782">
        <f t="shared" si="5"/>
        <v>0</v>
      </c>
      <c r="M10" s="782">
        <f t="shared" si="5"/>
        <v>3324420</v>
      </c>
      <c r="N10" s="782">
        <f t="shared" si="5"/>
        <v>3333453.75</v>
      </c>
      <c r="O10" s="782">
        <f t="shared" si="5"/>
        <v>3342487.5</v>
      </c>
      <c r="P10" s="782">
        <f t="shared" si="5"/>
        <v>3351521.25</v>
      </c>
      <c r="Q10" s="782">
        <f t="shared" si="5"/>
        <v>3360555</v>
      </c>
      <c r="R10" s="782">
        <f t="shared" si="5"/>
        <v>3369588.75</v>
      </c>
      <c r="S10" s="782">
        <f t="shared" si="5"/>
        <v>3378622.5</v>
      </c>
      <c r="T10" s="782">
        <f t="shared" si="5"/>
        <v>3387656.25</v>
      </c>
      <c r="U10" s="782">
        <f t="shared" si="5"/>
        <v>3396690</v>
      </c>
      <c r="V10" s="782">
        <f t="shared" si="5"/>
        <v>3405723.75</v>
      </c>
      <c r="W10" s="782">
        <f t="shared" si="5"/>
        <v>3414757.5</v>
      </c>
      <c r="X10" s="782">
        <f t="shared" si="5"/>
        <v>3423791.25</v>
      </c>
      <c r="Y10" s="782">
        <f t="shared" si="5"/>
        <v>3432825</v>
      </c>
      <c r="Z10" s="782">
        <f t="shared" si="5"/>
        <v>3441858.75</v>
      </c>
      <c r="AA10" s="782">
        <f t="shared" si="5"/>
        <v>3450892.5</v>
      </c>
      <c r="AB10" s="782">
        <f t="shared" si="5"/>
        <v>3459926.25</v>
      </c>
      <c r="AC10" s="782">
        <f t="shared" si="5"/>
        <v>3468960</v>
      </c>
      <c r="AD10" s="782">
        <f t="shared" si="5"/>
        <v>3477993.75</v>
      </c>
      <c r="AE10" s="782">
        <f t="shared" si="5"/>
        <v>3487027.5</v>
      </c>
      <c r="AF10" s="782">
        <f t="shared" si="5"/>
        <v>3496061.25</v>
      </c>
      <c r="AG10" s="782">
        <f t="shared" si="5"/>
        <v>3505095</v>
      </c>
      <c r="AH10" s="782">
        <f t="shared" si="5"/>
        <v>3514128.75</v>
      </c>
      <c r="AI10" s="782">
        <f t="shared" si="5"/>
        <v>3523162.5</v>
      </c>
      <c r="AJ10" s="782">
        <f t="shared" si="5"/>
        <v>3532196.25</v>
      </c>
      <c r="AK10" s="782">
        <f t="shared" si="5"/>
        <v>3541230</v>
      </c>
      <c r="AL10" s="782">
        <f t="shared" si="5"/>
        <v>3550263.75</v>
      </c>
      <c r="AM10" s="782">
        <f t="shared" si="5"/>
        <v>3559297.5</v>
      </c>
      <c r="AN10" s="782">
        <f t="shared" si="5"/>
        <v>3568331.25</v>
      </c>
      <c r="AO10" s="782">
        <f t="shared" si="5"/>
        <v>3577365</v>
      </c>
      <c r="AP10" s="782">
        <f t="shared" ref="AP10" si="6">AP9*$E$10</f>
        <v>3586398.75</v>
      </c>
    </row>
    <row r="11" spans="2:42" s="657" customFormat="1" x14ac:dyDescent="0.25">
      <c r="B11" s="781" t="s">
        <v>684</v>
      </c>
      <c r="C11" s="780">
        <f>SUM(G11:AO11)</f>
        <v>1010867.5</v>
      </c>
      <c r="D11" s="785" t="s">
        <v>732</v>
      </c>
      <c r="E11" s="1009">
        <f>Assumptions!$D$44</f>
        <v>0.01</v>
      </c>
      <c r="F11" s="660"/>
      <c r="G11" s="782">
        <f t="shared" ref="G11:AO11" si="7">G9*$E$11</f>
        <v>0</v>
      </c>
      <c r="H11" s="782">
        <f t="shared" si="7"/>
        <v>0</v>
      </c>
      <c r="I11" s="782">
        <f t="shared" si="7"/>
        <v>0</v>
      </c>
      <c r="J11" s="782">
        <f t="shared" si="7"/>
        <v>0</v>
      </c>
      <c r="K11" s="782">
        <f t="shared" si="7"/>
        <v>0</v>
      </c>
      <c r="L11" s="782">
        <f t="shared" si="7"/>
        <v>0</v>
      </c>
      <c r="M11" s="782">
        <f t="shared" si="7"/>
        <v>33580</v>
      </c>
      <c r="N11" s="782">
        <f t="shared" si="7"/>
        <v>33671.25</v>
      </c>
      <c r="O11" s="782">
        <f t="shared" si="7"/>
        <v>33762.5</v>
      </c>
      <c r="P11" s="782">
        <f t="shared" si="7"/>
        <v>33853.75</v>
      </c>
      <c r="Q11" s="782">
        <f t="shared" si="7"/>
        <v>33945</v>
      </c>
      <c r="R11" s="782">
        <f t="shared" si="7"/>
        <v>34036.25</v>
      </c>
      <c r="S11" s="782">
        <f t="shared" si="7"/>
        <v>34127.5</v>
      </c>
      <c r="T11" s="782">
        <f t="shared" si="7"/>
        <v>34218.75</v>
      </c>
      <c r="U11" s="782">
        <f t="shared" si="7"/>
        <v>34310</v>
      </c>
      <c r="V11" s="782">
        <f t="shared" si="7"/>
        <v>34401.25</v>
      </c>
      <c r="W11" s="782">
        <f t="shared" si="7"/>
        <v>34492.5</v>
      </c>
      <c r="X11" s="782">
        <f t="shared" si="7"/>
        <v>34583.75</v>
      </c>
      <c r="Y11" s="782">
        <f t="shared" si="7"/>
        <v>34675</v>
      </c>
      <c r="Z11" s="782">
        <f t="shared" si="7"/>
        <v>34766.25</v>
      </c>
      <c r="AA11" s="782">
        <f t="shared" si="7"/>
        <v>34857.5</v>
      </c>
      <c r="AB11" s="782">
        <f t="shared" si="7"/>
        <v>34948.75</v>
      </c>
      <c r="AC11" s="782">
        <f t="shared" si="7"/>
        <v>35040</v>
      </c>
      <c r="AD11" s="782">
        <f t="shared" si="7"/>
        <v>35131.25</v>
      </c>
      <c r="AE11" s="782">
        <f t="shared" si="7"/>
        <v>35222.5</v>
      </c>
      <c r="AF11" s="782">
        <f t="shared" si="7"/>
        <v>35313.75</v>
      </c>
      <c r="AG11" s="782">
        <f t="shared" si="7"/>
        <v>35405</v>
      </c>
      <c r="AH11" s="782">
        <f t="shared" si="7"/>
        <v>35496.25</v>
      </c>
      <c r="AI11" s="782">
        <f t="shared" si="7"/>
        <v>35587.5</v>
      </c>
      <c r="AJ11" s="782">
        <f t="shared" si="7"/>
        <v>35678.75</v>
      </c>
      <c r="AK11" s="782">
        <f t="shared" si="7"/>
        <v>35770</v>
      </c>
      <c r="AL11" s="782">
        <f t="shared" si="7"/>
        <v>35861.25</v>
      </c>
      <c r="AM11" s="782">
        <f t="shared" si="7"/>
        <v>35952.5</v>
      </c>
      <c r="AN11" s="782">
        <f t="shared" si="7"/>
        <v>36043.75</v>
      </c>
      <c r="AO11" s="782">
        <f t="shared" si="7"/>
        <v>36135</v>
      </c>
      <c r="AP11" s="782">
        <f t="shared" ref="AP11" si="8">AP9*$E$11</f>
        <v>36226.25</v>
      </c>
    </row>
    <row r="12" spans="2:42" s="657" customFormat="1" x14ac:dyDescent="0.25">
      <c r="B12" s="781"/>
      <c r="C12" s="780"/>
      <c r="D12" s="785" t="s">
        <v>1006</v>
      </c>
      <c r="E12" s="786">
        <v>1</v>
      </c>
      <c r="F12" s="660"/>
      <c r="G12" s="782"/>
      <c r="H12" s="782"/>
      <c r="I12" s="782"/>
      <c r="J12" s="782"/>
      <c r="K12" s="782"/>
      <c r="L12" s="782"/>
      <c r="M12" s="782"/>
      <c r="N12" s="782"/>
      <c r="O12" s="782"/>
      <c r="P12" s="782"/>
      <c r="Q12" s="782"/>
      <c r="R12" s="782"/>
      <c r="S12" s="782"/>
      <c r="T12" s="782"/>
      <c r="U12" s="782"/>
      <c r="V12" s="782"/>
      <c r="W12" s="782"/>
      <c r="X12" s="782"/>
      <c r="Y12" s="782"/>
      <c r="Z12" s="782"/>
      <c r="AA12" s="782"/>
      <c r="AB12" s="782"/>
      <c r="AC12" s="782"/>
      <c r="AD12" s="782"/>
      <c r="AE12" s="782"/>
      <c r="AF12" s="782"/>
      <c r="AG12" s="782"/>
      <c r="AH12" s="782"/>
      <c r="AI12" s="782"/>
      <c r="AJ12" s="782"/>
      <c r="AK12" s="782"/>
      <c r="AL12" s="782"/>
      <c r="AM12" s="782"/>
    </row>
    <row r="13" spans="2:42" s="657" customFormat="1" x14ac:dyDescent="0.25">
      <c r="B13" s="816" t="s">
        <v>1065</v>
      </c>
      <c r="C13" s="797">
        <f>SUM(G13:AO13)</f>
        <v>276950</v>
      </c>
      <c r="D13" s="817" t="s">
        <v>727</v>
      </c>
      <c r="E13" s="1007">
        <f>days_year</f>
        <v>365</v>
      </c>
      <c r="F13" s="1010"/>
      <c r="G13" s="818">
        <f t="shared" ref="G13:AO13" si="9">G9/$E$13*$E$12</f>
        <v>0</v>
      </c>
      <c r="H13" s="818">
        <f t="shared" si="9"/>
        <v>0</v>
      </c>
      <c r="I13" s="818">
        <f t="shared" si="9"/>
        <v>0</v>
      </c>
      <c r="J13" s="818">
        <f t="shared" si="9"/>
        <v>0</v>
      </c>
      <c r="K13" s="818">
        <f t="shared" si="9"/>
        <v>0</v>
      </c>
      <c r="L13" s="818">
        <f t="shared" si="9"/>
        <v>0</v>
      </c>
      <c r="M13" s="818">
        <f t="shared" si="9"/>
        <v>9200</v>
      </c>
      <c r="N13" s="818">
        <f t="shared" si="9"/>
        <v>9225</v>
      </c>
      <c r="O13" s="818">
        <f t="shared" si="9"/>
        <v>9250</v>
      </c>
      <c r="P13" s="818">
        <f t="shared" si="9"/>
        <v>9275</v>
      </c>
      <c r="Q13" s="818">
        <f t="shared" si="9"/>
        <v>9300</v>
      </c>
      <c r="R13" s="818">
        <f t="shared" si="9"/>
        <v>9325</v>
      </c>
      <c r="S13" s="818">
        <f t="shared" si="9"/>
        <v>9350</v>
      </c>
      <c r="T13" s="818">
        <f t="shared" si="9"/>
        <v>9375</v>
      </c>
      <c r="U13" s="818">
        <f t="shared" si="9"/>
        <v>9400</v>
      </c>
      <c r="V13" s="818">
        <f t="shared" si="9"/>
        <v>9425</v>
      </c>
      <c r="W13" s="818">
        <f t="shared" si="9"/>
        <v>9450</v>
      </c>
      <c r="X13" s="818">
        <f t="shared" si="9"/>
        <v>9475</v>
      </c>
      <c r="Y13" s="818">
        <f t="shared" si="9"/>
        <v>9500</v>
      </c>
      <c r="Z13" s="818">
        <f t="shared" si="9"/>
        <v>9525</v>
      </c>
      <c r="AA13" s="818">
        <f t="shared" si="9"/>
        <v>9550</v>
      </c>
      <c r="AB13" s="818">
        <f t="shared" si="9"/>
        <v>9575</v>
      </c>
      <c r="AC13" s="818">
        <f t="shared" si="9"/>
        <v>9600</v>
      </c>
      <c r="AD13" s="818">
        <f t="shared" si="9"/>
        <v>9625</v>
      </c>
      <c r="AE13" s="818">
        <f t="shared" si="9"/>
        <v>9650</v>
      </c>
      <c r="AF13" s="818">
        <f t="shared" si="9"/>
        <v>9675</v>
      </c>
      <c r="AG13" s="818">
        <f t="shared" si="9"/>
        <v>9700</v>
      </c>
      <c r="AH13" s="818">
        <f t="shared" si="9"/>
        <v>9725</v>
      </c>
      <c r="AI13" s="818">
        <f t="shared" si="9"/>
        <v>9750</v>
      </c>
      <c r="AJ13" s="818">
        <f t="shared" si="9"/>
        <v>9775</v>
      </c>
      <c r="AK13" s="818">
        <f t="shared" si="9"/>
        <v>9800</v>
      </c>
      <c r="AL13" s="818">
        <f t="shared" si="9"/>
        <v>9825</v>
      </c>
      <c r="AM13" s="818">
        <f t="shared" si="9"/>
        <v>9850</v>
      </c>
      <c r="AN13" s="818">
        <f t="shared" si="9"/>
        <v>9875</v>
      </c>
      <c r="AO13" s="818">
        <f t="shared" si="9"/>
        <v>9900</v>
      </c>
      <c r="AP13" s="818">
        <f t="shared" ref="AP13" si="10">AP9/$E$13*$E$12</f>
        <v>9925</v>
      </c>
    </row>
    <row r="14" spans="2:42" s="657" customFormat="1" x14ac:dyDescent="0.25">
      <c r="B14" s="781" t="s">
        <v>826</v>
      </c>
      <c r="C14" s="780">
        <f>SUM(G14:AO14)</f>
        <v>274180.5</v>
      </c>
      <c r="D14" s="785"/>
      <c r="E14" s="783"/>
      <c r="G14" s="815">
        <f t="shared" ref="G14:AO14" si="11">G10/$E$13*$E$12</f>
        <v>0</v>
      </c>
      <c r="H14" s="815">
        <f t="shared" si="11"/>
        <v>0</v>
      </c>
      <c r="I14" s="815">
        <f t="shared" si="11"/>
        <v>0</v>
      </c>
      <c r="J14" s="815">
        <f t="shared" si="11"/>
        <v>0</v>
      </c>
      <c r="K14" s="815">
        <f t="shared" si="11"/>
        <v>0</v>
      </c>
      <c r="L14" s="815">
        <f t="shared" si="11"/>
        <v>0</v>
      </c>
      <c r="M14" s="815">
        <f t="shared" si="11"/>
        <v>9108</v>
      </c>
      <c r="N14" s="815">
        <f t="shared" si="11"/>
        <v>9132.75</v>
      </c>
      <c r="O14" s="815">
        <f t="shared" si="11"/>
        <v>9157.5</v>
      </c>
      <c r="P14" s="815">
        <f t="shared" si="11"/>
        <v>9182.25</v>
      </c>
      <c r="Q14" s="815">
        <f t="shared" si="11"/>
        <v>9207</v>
      </c>
      <c r="R14" s="815">
        <f t="shared" si="11"/>
        <v>9231.75</v>
      </c>
      <c r="S14" s="815">
        <f t="shared" si="11"/>
        <v>9256.5</v>
      </c>
      <c r="T14" s="815">
        <f t="shared" si="11"/>
        <v>9281.25</v>
      </c>
      <c r="U14" s="815">
        <f t="shared" si="11"/>
        <v>9306</v>
      </c>
      <c r="V14" s="815">
        <f t="shared" si="11"/>
        <v>9330.75</v>
      </c>
      <c r="W14" s="815">
        <f t="shared" si="11"/>
        <v>9355.5</v>
      </c>
      <c r="X14" s="815">
        <f t="shared" si="11"/>
        <v>9380.25</v>
      </c>
      <c r="Y14" s="815">
        <f t="shared" si="11"/>
        <v>9405</v>
      </c>
      <c r="Z14" s="815">
        <f t="shared" si="11"/>
        <v>9429.75</v>
      </c>
      <c r="AA14" s="815">
        <f t="shared" si="11"/>
        <v>9454.5</v>
      </c>
      <c r="AB14" s="815">
        <f t="shared" si="11"/>
        <v>9479.25</v>
      </c>
      <c r="AC14" s="815">
        <f t="shared" si="11"/>
        <v>9504</v>
      </c>
      <c r="AD14" s="815">
        <f t="shared" si="11"/>
        <v>9528.75</v>
      </c>
      <c r="AE14" s="815">
        <f t="shared" si="11"/>
        <v>9553.5</v>
      </c>
      <c r="AF14" s="815">
        <f t="shared" si="11"/>
        <v>9578.25</v>
      </c>
      <c r="AG14" s="815">
        <f t="shared" si="11"/>
        <v>9603</v>
      </c>
      <c r="AH14" s="815">
        <f t="shared" si="11"/>
        <v>9627.75</v>
      </c>
      <c r="AI14" s="815">
        <f t="shared" si="11"/>
        <v>9652.5</v>
      </c>
      <c r="AJ14" s="815">
        <f t="shared" si="11"/>
        <v>9677.25</v>
      </c>
      <c r="AK14" s="815">
        <f t="shared" si="11"/>
        <v>9702</v>
      </c>
      <c r="AL14" s="815">
        <f t="shared" si="11"/>
        <v>9726.75</v>
      </c>
      <c r="AM14" s="815">
        <f t="shared" si="11"/>
        <v>9751.5</v>
      </c>
      <c r="AN14" s="815">
        <f t="shared" si="11"/>
        <v>9776.25</v>
      </c>
      <c r="AO14" s="815">
        <f t="shared" si="11"/>
        <v>9801</v>
      </c>
      <c r="AP14" s="815">
        <f t="shared" ref="AP14" si="12">AP10/$E$13*$E$12</f>
        <v>9825.75</v>
      </c>
    </row>
    <row r="15" spans="2:42" s="657" customFormat="1" x14ac:dyDescent="0.25">
      <c r="B15" s="781" t="s">
        <v>684</v>
      </c>
      <c r="C15" s="780">
        <f>SUM(G15:AO15)</f>
        <v>2769.5</v>
      </c>
      <c r="D15" s="785"/>
      <c r="E15" s="783"/>
      <c r="G15" s="815">
        <f t="shared" ref="G15:AO15" si="13">G11/$E$13*$E$12</f>
        <v>0</v>
      </c>
      <c r="H15" s="815">
        <f t="shared" si="13"/>
        <v>0</v>
      </c>
      <c r="I15" s="815">
        <f t="shared" si="13"/>
        <v>0</v>
      </c>
      <c r="J15" s="815">
        <f t="shared" si="13"/>
        <v>0</v>
      </c>
      <c r="K15" s="815">
        <f t="shared" si="13"/>
        <v>0</v>
      </c>
      <c r="L15" s="815">
        <f t="shared" si="13"/>
        <v>0</v>
      </c>
      <c r="M15" s="815">
        <f t="shared" si="13"/>
        <v>92</v>
      </c>
      <c r="N15" s="815">
        <f t="shared" si="13"/>
        <v>92.25</v>
      </c>
      <c r="O15" s="815">
        <f t="shared" si="13"/>
        <v>92.5</v>
      </c>
      <c r="P15" s="815">
        <f t="shared" si="13"/>
        <v>92.75</v>
      </c>
      <c r="Q15" s="815">
        <f t="shared" si="13"/>
        <v>93</v>
      </c>
      <c r="R15" s="815">
        <f t="shared" si="13"/>
        <v>93.25</v>
      </c>
      <c r="S15" s="815">
        <f t="shared" si="13"/>
        <v>93.5</v>
      </c>
      <c r="T15" s="815">
        <f t="shared" si="13"/>
        <v>93.75</v>
      </c>
      <c r="U15" s="815">
        <f t="shared" si="13"/>
        <v>94</v>
      </c>
      <c r="V15" s="815">
        <f t="shared" si="13"/>
        <v>94.25</v>
      </c>
      <c r="W15" s="815">
        <f t="shared" si="13"/>
        <v>94.5</v>
      </c>
      <c r="X15" s="815">
        <f t="shared" si="13"/>
        <v>94.75</v>
      </c>
      <c r="Y15" s="815">
        <f t="shared" si="13"/>
        <v>95</v>
      </c>
      <c r="Z15" s="815">
        <f t="shared" si="13"/>
        <v>95.25</v>
      </c>
      <c r="AA15" s="815">
        <f t="shared" si="13"/>
        <v>95.5</v>
      </c>
      <c r="AB15" s="815">
        <f t="shared" si="13"/>
        <v>95.75</v>
      </c>
      <c r="AC15" s="815">
        <f t="shared" si="13"/>
        <v>96</v>
      </c>
      <c r="AD15" s="815">
        <f t="shared" si="13"/>
        <v>96.25</v>
      </c>
      <c r="AE15" s="815">
        <f t="shared" si="13"/>
        <v>96.5</v>
      </c>
      <c r="AF15" s="815">
        <f t="shared" si="13"/>
        <v>96.75</v>
      </c>
      <c r="AG15" s="815">
        <f t="shared" si="13"/>
        <v>97</v>
      </c>
      <c r="AH15" s="815">
        <f t="shared" si="13"/>
        <v>97.25</v>
      </c>
      <c r="AI15" s="815">
        <f t="shared" si="13"/>
        <v>97.5</v>
      </c>
      <c r="AJ15" s="815">
        <f t="shared" si="13"/>
        <v>97.75</v>
      </c>
      <c r="AK15" s="815">
        <f t="shared" si="13"/>
        <v>98</v>
      </c>
      <c r="AL15" s="815">
        <f t="shared" si="13"/>
        <v>98.25</v>
      </c>
      <c r="AM15" s="815">
        <f t="shared" si="13"/>
        <v>98.5</v>
      </c>
      <c r="AN15" s="815">
        <f t="shared" si="13"/>
        <v>98.75</v>
      </c>
      <c r="AO15" s="815">
        <f t="shared" si="13"/>
        <v>99</v>
      </c>
      <c r="AP15" s="815">
        <f t="shared" ref="AP15" si="14">AP11/$E$13*$E$12</f>
        <v>99.25</v>
      </c>
    </row>
    <row r="16" spans="2:42" s="657" customFormat="1" x14ac:dyDescent="0.25">
      <c r="B16" s="779"/>
      <c r="C16" s="771"/>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row>
    <row r="17" spans="2:42" s="657" customFormat="1" x14ac:dyDescent="0.25">
      <c r="B17" s="779" t="s">
        <v>1066</v>
      </c>
      <c r="C17" s="771"/>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row>
    <row r="18" spans="2:42" s="657" customFormat="1" x14ac:dyDescent="0.25">
      <c r="B18" s="781" t="s">
        <v>826</v>
      </c>
      <c r="C18" s="780">
        <f>SUM(G18:AO18)</f>
        <v>822541.5</v>
      </c>
      <c r="D18" s="773" t="s">
        <v>729</v>
      </c>
      <c r="E18" s="1007">
        <f>Assumptions!$D$46</f>
        <v>3</v>
      </c>
      <c r="G18" s="782">
        <f>G14*$E$18</f>
        <v>0</v>
      </c>
      <c r="H18" s="782">
        <f t="shared" ref="H18:AN18" si="15">H14*$E$18</f>
        <v>0</v>
      </c>
      <c r="I18" s="782">
        <f t="shared" si="15"/>
        <v>0</v>
      </c>
      <c r="J18" s="782">
        <f t="shared" si="15"/>
        <v>0</v>
      </c>
      <c r="K18" s="782">
        <f t="shared" si="15"/>
        <v>0</v>
      </c>
      <c r="L18" s="782">
        <f t="shared" si="15"/>
        <v>0</v>
      </c>
      <c r="M18" s="782">
        <f t="shared" si="15"/>
        <v>27324</v>
      </c>
      <c r="N18" s="782">
        <f t="shared" si="15"/>
        <v>27398.25</v>
      </c>
      <c r="O18" s="782">
        <f t="shared" si="15"/>
        <v>27472.5</v>
      </c>
      <c r="P18" s="782">
        <f t="shared" si="15"/>
        <v>27546.75</v>
      </c>
      <c r="Q18" s="782">
        <f t="shared" si="15"/>
        <v>27621</v>
      </c>
      <c r="R18" s="782">
        <f t="shared" si="15"/>
        <v>27695.25</v>
      </c>
      <c r="S18" s="782">
        <f t="shared" si="15"/>
        <v>27769.5</v>
      </c>
      <c r="T18" s="782">
        <f t="shared" si="15"/>
        <v>27843.75</v>
      </c>
      <c r="U18" s="782">
        <f t="shared" si="15"/>
        <v>27918</v>
      </c>
      <c r="V18" s="782">
        <f t="shared" si="15"/>
        <v>27992.25</v>
      </c>
      <c r="W18" s="782">
        <f t="shared" si="15"/>
        <v>28066.5</v>
      </c>
      <c r="X18" s="782">
        <f t="shared" si="15"/>
        <v>28140.75</v>
      </c>
      <c r="Y18" s="782">
        <f t="shared" si="15"/>
        <v>28215</v>
      </c>
      <c r="Z18" s="782">
        <f t="shared" si="15"/>
        <v>28289.25</v>
      </c>
      <c r="AA18" s="782">
        <f t="shared" si="15"/>
        <v>28363.5</v>
      </c>
      <c r="AB18" s="782">
        <f t="shared" si="15"/>
        <v>28437.75</v>
      </c>
      <c r="AC18" s="782">
        <f t="shared" si="15"/>
        <v>28512</v>
      </c>
      <c r="AD18" s="782">
        <f t="shared" si="15"/>
        <v>28586.25</v>
      </c>
      <c r="AE18" s="782">
        <f t="shared" si="15"/>
        <v>28660.5</v>
      </c>
      <c r="AF18" s="782">
        <f t="shared" si="15"/>
        <v>28734.75</v>
      </c>
      <c r="AG18" s="782">
        <f t="shared" si="15"/>
        <v>28809</v>
      </c>
      <c r="AH18" s="782">
        <f t="shared" si="15"/>
        <v>28883.25</v>
      </c>
      <c r="AI18" s="782">
        <f t="shared" si="15"/>
        <v>28957.5</v>
      </c>
      <c r="AJ18" s="782">
        <f t="shared" si="15"/>
        <v>29031.75</v>
      </c>
      <c r="AK18" s="782">
        <f t="shared" si="15"/>
        <v>29106</v>
      </c>
      <c r="AL18" s="782">
        <f t="shared" si="15"/>
        <v>29180.25</v>
      </c>
      <c r="AM18" s="782">
        <f t="shared" si="15"/>
        <v>29254.5</v>
      </c>
      <c r="AN18" s="782">
        <f t="shared" si="15"/>
        <v>29328.75</v>
      </c>
      <c r="AO18" s="782">
        <f t="shared" ref="AO18:AP18" si="16">AO14*$E$18</f>
        <v>29403</v>
      </c>
      <c r="AP18" s="782">
        <f t="shared" si="16"/>
        <v>29477.25</v>
      </c>
    </row>
    <row r="19" spans="2:42" s="657" customFormat="1" x14ac:dyDescent="0.25">
      <c r="B19" s="794" t="s">
        <v>684</v>
      </c>
      <c r="C19" s="797">
        <f>SUM(G19:AO19)</f>
        <v>8308.5</v>
      </c>
      <c r="D19" s="795"/>
      <c r="E19" s="795"/>
      <c r="F19" s="795"/>
      <c r="G19" s="798">
        <f>G15*$E$18</f>
        <v>0</v>
      </c>
      <c r="H19" s="798">
        <f t="shared" ref="H19:AN19" si="17">H15*$E$18</f>
        <v>0</v>
      </c>
      <c r="I19" s="798">
        <f t="shared" si="17"/>
        <v>0</v>
      </c>
      <c r="J19" s="798">
        <f t="shared" si="17"/>
        <v>0</v>
      </c>
      <c r="K19" s="798">
        <f t="shared" si="17"/>
        <v>0</v>
      </c>
      <c r="L19" s="798">
        <f t="shared" si="17"/>
        <v>0</v>
      </c>
      <c r="M19" s="798">
        <f t="shared" si="17"/>
        <v>276</v>
      </c>
      <c r="N19" s="798">
        <f t="shared" si="17"/>
        <v>276.75</v>
      </c>
      <c r="O19" s="798">
        <f t="shared" si="17"/>
        <v>277.5</v>
      </c>
      <c r="P19" s="798">
        <f t="shared" si="17"/>
        <v>278.25</v>
      </c>
      <c r="Q19" s="798">
        <f t="shared" si="17"/>
        <v>279</v>
      </c>
      <c r="R19" s="798">
        <f t="shared" si="17"/>
        <v>279.75</v>
      </c>
      <c r="S19" s="798">
        <f t="shared" si="17"/>
        <v>280.5</v>
      </c>
      <c r="T19" s="798">
        <f t="shared" si="17"/>
        <v>281.25</v>
      </c>
      <c r="U19" s="798">
        <f t="shared" si="17"/>
        <v>282</v>
      </c>
      <c r="V19" s="798">
        <f t="shared" si="17"/>
        <v>282.75</v>
      </c>
      <c r="W19" s="798">
        <f t="shared" si="17"/>
        <v>283.5</v>
      </c>
      <c r="X19" s="798">
        <f t="shared" si="17"/>
        <v>284.25</v>
      </c>
      <c r="Y19" s="798">
        <f t="shared" si="17"/>
        <v>285</v>
      </c>
      <c r="Z19" s="798">
        <f t="shared" si="17"/>
        <v>285.75</v>
      </c>
      <c r="AA19" s="798">
        <f t="shared" si="17"/>
        <v>286.5</v>
      </c>
      <c r="AB19" s="798">
        <f t="shared" si="17"/>
        <v>287.25</v>
      </c>
      <c r="AC19" s="798">
        <f t="shared" si="17"/>
        <v>288</v>
      </c>
      <c r="AD19" s="798">
        <f t="shared" si="17"/>
        <v>288.75</v>
      </c>
      <c r="AE19" s="798">
        <f t="shared" si="17"/>
        <v>289.5</v>
      </c>
      <c r="AF19" s="798">
        <f t="shared" si="17"/>
        <v>290.25</v>
      </c>
      <c r="AG19" s="798">
        <f t="shared" si="17"/>
        <v>291</v>
      </c>
      <c r="AH19" s="798">
        <f t="shared" si="17"/>
        <v>291.75</v>
      </c>
      <c r="AI19" s="798">
        <f t="shared" si="17"/>
        <v>292.5</v>
      </c>
      <c r="AJ19" s="798">
        <f t="shared" si="17"/>
        <v>293.25</v>
      </c>
      <c r="AK19" s="798">
        <f t="shared" si="17"/>
        <v>294</v>
      </c>
      <c r="AL19" s="798">
        <f t="shared" si="17"/>
        <v>294.75</v>
      </c>
      <c r="AM19" s="798">
        <f t="shared" si="17"/>
        <v>295.5</v>
      </c>
      <c r="AN19" s="798">
        <f t="shared" si="17"/>
        <v>296.25</v>
      </c>
      <c r="AO19" s="798">
        <f t="shared" ref="AO19:AP19" si="18">AO15*$E$18</f>
        <v>297</v>
      </c>
      <c r="AP19" s="798">
        <f t="shared" si="18"/>
        <v>297.75</v>
      </c>
    </row>
    <row r="20" spans="2:42" s="657" customFormat="1" x14ac:dyDescent="0.25">
      <c r="B20" s="790" t="s">
        <v>393</v>
      </c>
      <c r="C20" s="780">
        <f>SUM(G20:AO20)</f>
        <v>830850</v>
      </c>
      <c r="D20" s="771"/>
      <c r="E20" s="783"/>
      <c r="G20" s="789">
        <f>SUM(G18:G19)</f>
        <v>0</v>
      </c>
      <c r="H20" s="789">
        <f t="shared" ref="H20" si="19">SUM(H18:H19)</f>
        <v>0</v>
      </c>
      <c r="I20" s="789">
        <f t="shared" ref="I20" si="20">SUM(I18:I19)</f>
        <v>0</v>
      </c>
      <c r="J20" s="789">
        <f t="shared" ref="J20" si="21">SUM(J18:J19)</f>
        <v>0</v>
      </c>
      <c r="K20" s="789">
        <f t="shared" ref="K20" si="22">SUM(K18:K19)</f>
        <v>0</v>
      </c>
      <c r="L20" s="789">
        <f>SUM(L18:L19)</f>
        <v>0</v>
      </c>
      <c r="M20" s="789">
        <f t="shared" ref="M20" si="23">SUM(M18:M19)</f>
        <v>27600</v>
      </c>
      <c r="N20" s="789">
        <f t="shared" ref="N20" si="24">SUM(N18:N19)</f>
        <v>27675</v>
      </c>
      <c r="O20" s="789">
        <f t="shared" ref="O20" si="25">SUM(O18:O19)</f>
        <v>27750</v>
      </c>
      <c r="P20" s="789">
        <f t="shared" ref="P20" si="26">SUM(P18:P19)</f>
        <v>27825</v>
      </c>
      <c r="Q20" s="789">
        <f t="shared" ref="Q20" si="27">SUM(Q18:Q19)</f>
        <v>27900</v>
      </c>
      <c r="R20" s="789">
        <f t="shared" ref="R20" si="28">SUM(R18:R19)</f>
        <v>27975</v>
      </c>
      <c r="S20" s="789">
        <f t="shared" ref="S20" si="29">SUM(S18:S19)</f>
        <v>28050</v>
      </c>
      <c r="T20" s="789">
        <f t="shared" ref="T20" si="30">SUM(T18:T19)</f>
        <v>28125</v>
      </c>
      <c r="U20" s="789">
        <f t="shared" ref="U20" si="31">SUM(U18:U19)</f>
        <v>28200</v>
      </c>
      <c r="V20" s="789">
        <f t="shared" ref="V20" si="32">SUM(V18:V19)</f>
        <v>28275</v>
      </c>
      <c r="W20" s="789">
        <f t="shared" ref="W20" si="33">SUM(W18:W19)</f>
        <v>28350</v>
      </c>
      <c r="X20" s="789">
        <f t="shared" ref="X20" si="34">SUM(X18:X19)</f>
        <v>28425</v>
      </c>
      <c r="Y20" s="789">
        <f t="shared" ref="Y20" si="35">SUM(Y18:Y19)</f>
        <v>28500</v>
      </c>
      <c r="Z20" s="789">
        <f t="shared" ref="Z20" si="36">SUM(Z18:Z19)</f>
        <v>28575</v>
      </c>
      <c r="AA20" s="789">
        <f t="shared" ref="AA20" si="37">SUM(AA18:AA19)</f>
        <v>28650</v>
      </c>
      <c r="AB20" s="789">
        <f t="shared" ref="AB20" si="38">SUM(AB18:AB19)</f>
        <v>28725</v>
      </c>
      <c r="AC20" s="789">
        <f t="shared" ref="AC20" si="39">SUM(AC18:AC19)</f>
        <v>28800</v>
      </c>
      <c r="AD20" s="789">
        <f t="shared" ref="AD20" si="40">SUM(AD18:AD19)</f>
        <v>28875</v>
      </c>
      <c r="AE20" s="789">
        <f t="shared" ref="AE20" si="41">SUM(AE18:AE19)</f>
        <v>28950</v>
      </c>
      <c r="AF20" s="789">
        <f t="shared" ref="AF20" si="42">SUM(AF18:AF19)</f>
        <v>29025</v>
      </c>
      <c r="AG20" s="789">
        <f t="shared" ref="AG20" si="43">SUM(AG18:AG19)</f>
        <v>29100</v>
      </c>
      <c r="AH20" s="789">
        <f t="shared" ref="AH20" si="44">SUM(AH18:AH19)</f>
        <v>29175</v>
      </c>
      <c r="AI20" s="789">
        <f t="shared" ref="AI20" si="45">SUM(AI18:AI19)</f>
        <v>29250</v>
      </c>
      <c r="AJ20" s="789">
        <f t="shared" ref="AJ20" si="46">SUM(AJ18:AJ19)</f>
        <v>29325</v>
      </c>
      <c r="AK20" s="789">
        <f t="shared" ref="AK20" si="47">SUM(AK18:AK19)</f>
        <v>29400</v>
      </c>
      <c r="AL20" s="789">
        <f t="shared" ref="AL20" si="48">SUM(AL18:AL19)</f>
        <v>29475</v>
      </c>
      <c r="AM20" s="789">
        <f t="shared" ref="AM20:AO20" si="49">SUM(AM18:AM19)</f>
        <v>29550</v>
      </c>
      <c r="AN20" s="789">
        <f t="shared" si="49"/>
        <v>29625</v>
      </c>
      <c r="AO20" s="789">
        <f t="shared" si="49"/>
        <v>29700</v>
      </c>
      <c r="AP20" s="789">
        <f t="shared" ref="AP20" si="50">SUM(AP18:AP19)</f>
        <v>29775</v>
      </c>
    </row>
    <row r="21" spans="2:42" s="657" customFormat="1" x14ac:dyDescent="0.25">
      <c r="B21" s="779"/>
      <c r="C21" s="771"/>
      <c r="H21" s="750"/>
      <c r="I21" s="750"/>
      <c r="J21" s="750"/>
      <c r="K21" s="750"/>
      <c r="L21" s="750"/>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0"/>
      <c r="AJ21" s="750"/>
      <c r="AK21" s="750"/>
      <c r="AL21" s="750"/>
      <c r="AM21" s="750"/>
    </row>
    <row r="22" spans="2:42" s="657" customFormat="1" x14ac:dyDescent="0.25">
      <c r="B22" s="779" t="s">
        <v>1067</v>
      </c>
      <c r="C22" s="771"/>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0"/>
      <c r="AM22" s="750"/>
    </row>
    <row r="23" spans="2:42" s="657" customFormat="1" x14ac:dyDescent="0.25">
      <c r="B23" s="781" t="s">
        <v>826</v>
      </c>
      <c r="C23" s="780">
        <f>SUM(G23:AO23)</f>
        <v>27418.049999999996</v>
      </c>
      <c r="D23" s="799" t="s">
        <v>733</v>
      </c>
      <c r="E23" s="1007">
        <f>Assumptions!$D$49</f>
        <v>30</v>
      </c>
      <c r="G23" s="782">
        <f>G18/$E$23</f>
        <v>0</v>
      </c>
      <c r="H23" s="782">
        <f t="shared" ref="H23:AO23" si="51">H18/$E$23</f>
        <v>0</v>
      </c>
      <c r="I23" s="782">
        <f t="shared" si="51"/>
        <v>0</v>
      </c>
      <c r="J23" s="782">
        <f t="shared" si="51"/>
        <v>0</v>
      </c>
      <c r="K23" s="782">
        <f t="shared" si="51"/>
        <v>0</v>
      </c>
      <c r="L23" s="782">
        <f t="shared" si="51"/>
        <v>0</v>
      </c>
      <c r="M23" s="782">
        <f t="shared" si="51"/>
        <v>910.8</v>
      </c>
      <c r="N23" s="782">
        <f t="shared" si="51"/>
        <v>913.27499999999998</v>
      </c>
      <c r="O23" s="782">
        <f t="shared" si="51"/>
        <v>915.75</v>
      </c>
      <c r="P23" s="782">
        <f t="shared" si="51"/>
        <v>918.22500000000002</v>
      </c>
      <c r="Q23" s="782">
        <f t="shared" si="51"/>
        <v>920.7</v>
      </c>
      <c r="R23" s="782">
        <f t="shared" si="51"/>
        <v>923.17499999999995</v>
      </c>
      <c r="S23" s="782">
        <f t="shared" si="51"/>
        <v>925.65</v>
      </c>
      <c r="T23" s="782">
        <f t="shared" si="51"/>
        <v>928.125</v>
      </c>
      <c r="U23" s="782">
        <f t="shared" si="51"/>
        <v>930.6</v>
      </c>
      <c r="V23" s="782">
        <f t="shared" si="51"/>
        <v>933.07500000000005</v>
      </c>
      <c r="W23" s="782">
        <f t="shared" si="51"/>
        <v>935.55</v>
      </c>
      <c r="X23" s="782">
        <f t="shared" si="51"/>
        <v>938.02499999999998</v>
      </c>
      <c r="Y23" s="782">
        <f t="shared" si="51"/>
        <v>940.5</v>
      </c>
      <c r="Z23" s="782">
        <f t="shared" si="51"/>
        <v>942.97500000000002</v>
      </c>
      <c r="AA23" s="782">
        <f t="shared" si="51"/>
        <v>945.45</v>
      </c>
      <c r="AB23" s="782">
        <f t="shared" si="51"/>
        <v>947.92499999999995</v>
      </c>
      <c r="AC23" s="782">
        <f t="shared" si="51"/>
        <v>950.4</v>
      </c>
      <c r="AD23" s="782">
        <f t="shared" si="51"/>
        <v>952.875</v>
      </c>
      <c r="AE23" s="782">
        <f t="shared" si="51"/>
        <v>955.35</v>
      </c>
      <c r="AF23" s="782">
        <f t="shared" si="51"/>
        <v>957.82500000000005</v>
      </c>
      <c r="AG23" s="782">
        <f t="shared" si="51"/>
        <v>960.3</v>
      </c>
      <c r="AH23" s="782">
        <f t="shared" si="51"/>
        <v>962.77499999999998</v>
      </c>
      <c r="AI23" s="782">
        <f t="shared" si="51"/>
        <v>965.25</v>
      </c>
      <c r="AJ23" s="782">
        <f t="shared" si="51"/>
        <v>967.72500000000002</v>
      </c>
      <c r="AK23" s="782">
        <f t="shared" si="51"/>
        <v>970.2</v>
      </c>
      <c r="AL23" s="782">
        <f t="shared" si="51"/>
        <v>972.67499999999995</v>
      </c>
      <c r="AM23" s="782">
        <f t="shared" si="51"/>
        <v>975.15</v>
      </c>
      <c r="AN23" s="782">
        <f t="shared" si="51"/>
        <v>977.625</v>
      </c>
      <c r="AO23" s="782">
        <f t="shared" si="51"/>
        <v>980.1</v>
      </c>
      <c r="AP23" s="782">
        <f t="shared" ref="AP23" si="52">AP18/$E$23</f>
        <v>982.57500000000005</v>
      </c>
    </row>
    <row r="24" spans="2:42" s="657" customFormat="1" x14ac:dyDescent="0.25">
      <c r="B24" s="794" t="s">
        <v>684</v>
      </c>
      <c r="C24" s="797">
        <f>SUM(G24:AO24)</f>
        <v>276.95</v>
      </c>
      <c r="D24" s="795"/>
      <c r="E24" s="795"/>
      <c r="F24" s="795"/>
      <c r="G24" s="798">
        <f>G19/$E$23</f>
        <v>0</v>
      </c>
      <c r="H24" s="798">
        <f t="shared" ref="H24:AO24" si="53">H19/$E$23</f>
        <v>0</v>
      </c>
      <c r="I24" s="798">
        <f t="shared" si="53"/>
        <v>0</v>
      </c>
      <c r="J24" s="798">
        <f t="shared" si="53"/>
        <v>0</v>
      </c>
      <c r="K24" s="798">
        <f t="shared" si="53"/>
        <v>0</v>
      </c>
      <c r="L24" s="798">
        <f t="shared" si="53"/>
        <v>0</v>
      </c>
      <c r="M24" s="798">
        <f t="shared" si="53"/>
        <v>9.1999999999999993</v>
      </c>
      <c r="N24" s="798">
        <f t="shared" si="53"/>
        <v>9.2249999999999996</v>
      </c>
      <c r="O24" s="798">
        <f t="shared" si="53"/>
        <v>9.25</v>
      </c>
      <c r="P24" s="798">
        <f t="shared" si="53"/>
        <v>9.2750000000000004</v>
      </c>
      <c r="Q24" s="798">
        <f t="shared" si="53"/>
        <v>9.3000000000000007</v>
      </c>
      <c r="R24" s="798">
        <f t="shared" si="53"/>
        <v>9.3249999999999993</v>
      </c>
      <c r="S24" s="798">
        <f t="shared" si="53"/>
        <v>9.35</v>
      </c>
      <c r="T24" s="798">
        <f t="shared" si="53"/>
        <v>9.375</v>
      </c>
      <c r="U24" s="798">
        <f t="shared" si="53"/>
        <v>9.4</v>
      </c>
      <c r="V24" s="798">
        <f t="shared" si="53"/>
        <v>9.4250000000000007</v>
      </c>
      <c r="W24" s="798">
        <f t="shared" si="53"/>
        <v>9.4499999999999993</v>
      </c>
      <c r="X24" s="798">
        <f t="shared" si="53"/>
        <v>9.4749999999999996</v>
      </c>
      <c r="Y24" s="798">
        <f t="shared" si="53"/>
        <v>9.5</v>
      </c>
      <c r="Z24" s="798">
        <f t="shared" si="53"/>
        <v>9.5250000000000004</v>
      </c>
      <c r="AA24" s="798">
        <f t="shared" si="53"/>
        <v>9.5500000000000007</v>
      </c>
      <c r="AB24" s="798">
        <f t="shared" si="53"/>
        <v>9.5749999999999993</v>
      </c>
      <c r="AC24" s="798">
        <f t="shared" si="53"/>
        <v>9.6</v>
      </c>
      <c r="AD24" s="798">
        <f t="shared" si="53"/>
        <v>9.625</v>
      </c>
      <c r="AE24" s="798">
        <f t="shared" si="53"/>
        <v>9.65</v>
      </c>
      <c r="AF24" s="798">
        <f t="shared" si="53"/>
        <v>9.6750000000000007</v>
      </c>
      <c r="AG24" s="798">
        <f t="shared" si="53"/>
        <v>9.6999999999999993</v>
      </c>
      <c r="AH24" s="798">
        <f t="shared" si="53"/>
        <v>9.7249999999999996</v>
      </c>
      <c r="AI24" s="798">
        <f t="shared" si="53"/>
        <v>9.75</v>
      </c>
      <c r="AJ24" s="798">
        <f t="shared" si="53"/>
        <v>9.7750000000000004</v>
      </c>
      <c r="AK24" s="798">
        <f t="shared" si="53"/>
        <v>9.8000000000000007</v>
      </c>
      <c r="AL24" s="798">
        <f t="shared" si="53"/>
        <v>9.8249999999999993</v>
      </c>
      <c r="AM24" s="798">
        <f t="shared" si="53"/>
        <v>9.85</v>
      </c>
      <c r="AN24" s="798">
        <f t="shared" si="53"/>
        <v>9.875</v>
      </c>
      <c r="AO24" s="798">
        <f t="shared" si="53"/>
        <v>9.9</v>
      </c>
      <c r="AP24" s="798">
        <f t="shared" ref="AP24" si="54">AP19/$E$23</f>
        <v>9.9250000000000007</v>
      </c>
    </row>
    <row r="25" spans="2:42" s="657" customFormat="1" x14ac:dyDescent="0.25">
      <c r="B25" s="790" t="s">
        <v>393</v>
      </c>
      <c r="C25" s="780">
        <f>SUM(G25:AO25)</f>
        <v>27695</v>
      </c>
      <c r="D25" s="771"/>
      <c r="E25" s="783"/>
      <c r="G25" s="789">
        <f>SUM(G23:G24)</f>
        <v>0</v>
      </c>
      <c r="H25" s="789">
        <f t="shared" ref="H25:AO25" si="55">SUM(H23:H24)</f>
        <v>0</v>
      </c>
      <c r="I25" s="789">
        <f t="shared" si="55"/>
        <v>0</v>
      </c>
      <c r="J25" s="789">
        <f t="shared" si="55"/>
        <v>0</v>
      </c>
      <c r="K25" s="789">
        <f t="shared" si="55"/>
        <v>0</v>
      </c>
      <c r="L25" s="789">
        <f t="shared" si="55"/>
        <v>0</v>
      </c>
      <c r="M25" s="789">
        <f t="shared" si="55"/>
        <v>920</v>
      </c>
      <c r="N25" s="789">
        <f t="shared" si="55"/>
        <v>922.5</v>
      </c>
      <c r="O25" s="789">
        <f t="shared" si="55"/>
        <v>925</v>
      </c>
      <c r="P25" s="789">
        <f t="shared" si="55"/>
        <v>927.5</v>
      </c>
      <c r="Q25" s="789">
        <f t="shared" si="55"/>
        <v>930</v>
      </c>
      <c r="R25" s="789">
        <f t="shared" si="55"/>
        <v>932.5</v>
      </c>
      <c r="S25" s="789">
        <f t="shared" si="55"/>
        <v>935</v>
      </c>
      <c r="T25" s="789">
        <f t="shared" si="55"/>
        <v>937.5</v>
      </c>
      <c r="U25" s="789">
        <f t="shared" si="55"/>
        <v>940</v>
      </c>
      <c r="V25" s="789">
        <f t="shared" si="55"/>
        <v>942.5</v>
      </c>
      <c r="W25" s="789">
        <f t="shared" si="55"/>
        <v>945</v>
      </c>
      <c r="X25" s="789">
        <f t="shared" si="55"/>
        <v>947.5</v>
      </c>
      <c r="Y25" s="789">
        <f t="shared" si="55"/>
        <v>950</v>
      </c>
      <c r="Z25" s="789">
        <f t="shared" si="55"/>
        <v>952.5</v>
      </c>
      <c r="AA25" s="789">
        <f t="shared" si="55"/>
        <v>955</v>
      </c>
      <c r="AB25" s="789">
        <f t="shared" si="55"/>
        <v>957.5</v>
      </c>
      <c r="AC25" s="789">
        <f t="shared" si="55"/>
        <v>960</v>
      </c>
      <c r="AD25" s="789">
        <f t="shared" si="55"/>
        <v>962.5</v>
      </c>
      <c r="AE25" s="789">
        <f t="shared" si="55"/>
        <v>965</v>
      </c>
      <c r="AF25" s="789">
        <f t="shared" si="55"/>
        <v>967.5</v>
      </c>
      <c r="AG25" s="789">
        <f t="shared" si="55"/>
        <v>970</v>
      </c>
      <c r="AH25" s="789">
        <f t="shared" si="55"/>
        <v>972.5</v>
      </c>
      <c r="AI25" s="789">
        <f t="shared" si="55"/>
        <v>975</v>
      </c>
      <c r="AJ25" s="789">
        <f t="shared" si="55"/>
        <v>977.5</v>
      </c>
      <c r="AK25" s="789">
        <f t="shared" si="55"/>
        <v>980</v>
      </c>
      <c r="AL25" s="789">
        <f t="shared" si="55"/>
        <v>982.5</v>
      </c>
      <c r="AM25" s="789">
        <f t="shared" si="55"/>
        <v>985</v>
      </c>
      <c r="AN25" s="789">
        <f t="shared" si="55"/>
        <v>987.5</v>
      </c>
      <c r="AO25" s="789">
        <f t="shared" si="55"/>
        <v>990</v>
      </c>
      <c r="AP25" s="789">
        <f t="shared" ref="AP25" si="56">SUM(AP23:AP24)</f>
        <v>992.5</v>
      </c>
    </row>
    <row r="26" spans="2:42" s="657" customFormat="1" x14ac:dyDescent="0.25">
      <c r="B26" s="779"/>
      <c r="C26" s="771"/>
      <c r="D26" s="771"/>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row>
    <row r="27" spans="2:42" s="650" customFormat="1" x14ac:dyDescent="0.25">
      <c r="B27" s="768"/>
      <c r="C27" s="766"/>
      <c r="G27" s="766"/>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row>
    <row r="28" spans="2:42" x14ac:dyDescent="0.25">
      <c r="B28" s="808" t="s">
        <v>746</v>
      </c>
      <c r="C28" s="800"/>
      <c r="D28" s="800"/>
      <c r="E28" s="800"/>
      <c r="F28" s="837"/>
      <c r="G28" s="837"/>
      <c r="H28" s="838"/>
      <c r="I28" s="838"/>
      <c r="J28" s="838"/>
      <c r="K28" s="838"/>
      <c r="L28" s="838"/>
      <c r="M28" s="838"/>
      <c r="N28" s="838"/>
      <c r="O28" s="838"/>
      <c r="P28" s="838"/>
      <c r="Q28" s="838"/>
      <c r="R28" s="838"/>
      <c r="S28" s="838"/>
      <c r="T28" s="838"/>
      <c r="U28" s="838"/>
      <c r="V28" s="838"/>
      <c r="W28" s="838"/>
      <c r="X28" s="838"/>
      <c r="Y28" s="838"/>
      <c r="Z28" s="838"/>
      <c r="AA28" s="838"/>
      <c r="AB28" s="838"/>
      <c r="AC28" s="838"/>
      <c r="AD28" s="838"/>
      <c r="AE28" s="838"/>
      <c r="AF28" s="838"/>
      <c r="AG28" s="838"/>
      <c r="AH28" s="838"/>
      <c r="AI28" s="838"/>
      <c r="AJ28" s="838"/>
      <c r="AK28" s="838"/>
      <c r="AL28" s="838"/>
      <c r="AM28" s="838"/>
      <c r="AN28" s="800"/>
      <c r="AO28" s="800"/>
      <c r="AP28" s="800"/>
    </row>
    <row r="29" spans="2:42" x14ac:dyDescent="0.25">
      <c r="B29" s="640"/>
      <c r="D29" s="773" t="s">
        <v>763</v>
      </c>
      <c r="E29" s="1007">
        <f>Assumptions!$D$57</f>
        <v>365</v>
      </c>
      <c r="F29" s="773"/>
      <c r="G29" s="778"/>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row>
    <row r="30" spans="2:42" x14ac:dyDescent="0.25">
      <c r="B30" s="1" t="s">
        <v>745</v>
      </c>
      <c r="C30" s="780"/>
      <c r="D30" s="773" t="s">
        <v>723</v>
      </c>
      <c r="E30" s="1009">
        <f>Assumptions!$D$61</f>
        <v>0.01</v>
      </c>
      <c r="F30" s="773"/>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row>
    <row r="31" spans="2:42" x14ac:dyDescent="0.25">
      <c r="B31" s="644" t="s">
        <v>769</v>
      </c>
      <c r="C31" s="780">
        <f>SUM(G31:AO31)</f>
        <v>387467.55937593011</v>
      </c>
      <c r="D31" s="773" t="s">
        <v>771</v>
      </c>
      <c r="E31" s="1007">
        <f>Assumptions!$D$59</f>
        <v>29.6</v>
      </c>
      <c r="F31" s="773"/>
      <c r="G31" s="677">
        <f t="shared" ref="G31:AP31" si="57">$E$31*$E$29*(1+$E$30)^(G4-2018)*G5</f>
        <v>0</v>
      </c>
      <c r="H31" s="677">
        <f t="shared" si="57"/>
        <v>0</v>
      </c>
      <c r="I31" s="677">
        <f t="shared" si="57"/>
        <v>0</v>
      </c>
      <c r="J31" s="677">
        <f t="shared" si="57"/>
        <v>0</v>
      </c>
      <c r="K31" s="677">
        <f t="shared" si="57"/>
        <v>0</v>
      </c>
      <c r="L31" s="677">
        <f t="shared" si="57"/>
        <v>0</v>
      </c>
      <c r="M31" s="677">
        <f t="shared" si="57"/>
        <v>11583.350344164135</v>
      </c>
      <c r="N31" s="677">
        <f t="shared" si="57"/>
        <v>11699.183847605778</v>
      </c>
      <c r="O31" s="677">
        <f t="shared" si="57"/>
        <v>11816.175686081837</v>
      </c>
      <c r="P31" s="677">
        <f t="shared" si="57"/>
        <v>11934.337442942657</v>
      </c>
      <c r="Q31" s="677">
        <f t="shared" si="57"/>
        <v>12053.68081737208</v>
      </c>
      <c r="R31" s="677">
        <f t="shared" si="57"/>
        <v>12174.217625545802</v>
      </c>
      <c r="S31" s="677">
        <f t="shared" si="57"/>
        <v>12295.95980180126</v>
      </c>
      <c r="T31" s="677">
        <f t="shared" si="57"/>
        <v>12418.919399819275</v>
      </c>
      <c r="U31" s="677">
        <f t="shared" si="57"/>
        <v>12543.108593817464</v>
      </c>
      <c r="V31" s="677">
        <f t="shared" si="57"/>
        <v>12668.539679755642</v>
      </c>
      <c r="W31" s="677">
        <f t="shared" si="57"/>
        <v>12795.225076553199</v>
      </c>
      <c r="X31" s="677">
        <f t="shared" si="57"/>
        <v>12923.177327318732</v>
      </c>
      <c r="Y31" s="677">
        <f t="shared" si="57"/>
        <v>13052.409100591916</v>
      </c>
      <c r="Z31" s="677">
        <f t="shared" si="57"/>
        <v>13182.933191597836</v>
      </c>
      <c r="AA31" s="677">
        <f t="shared" si="57"/>
        <v>13314.762523513813</v>
      </c>
      <c r="AB31" s="677">
        <f t="shared" si="57"/>
        <v>13447.910148748955</v>
      </c>
      <c r="AC31" s="677">
        <f t="shared" si="57"/>
        <v>13582.389250236442</v>
      </c>
      <c r="AD31" s="677">
        <f t="shared" si="57"/>
        <v>13718.213142738809</v>
      </c>
      <c r="AE31" s="677">
        <f t="shared" si="57"/>
        <v>13855.3952741662</v>
      </c>
      <c r="AF31" s="677">
        <f t="shared" si="57"/>
        <v>13993.94922690786</v>
      </c>
      <c r="AG31" s="677">
        <f t="shared" si="57"/>
        <v>14133.888719176934</v>
      </c>
      <c r="AH31" s="677">
        <f t="shared" si="57"/>
        <v>14275.227606368704</v>
      </c>
      <c r="AI31" s="677">
        <f t="shared" si="57"/>
        <v>14417.979882432393</v>
      </c>
      <c r="AJ31" s="677">
        <f t="shared" si="57"/>
        <v>14562.15968125672</v>
      </c>
      <c r="AK31" s="677">
        <f t="shared" si="57"/>
        <v>14707.781278069282</v>
      </c>
      <c r="AL31" s="677">
        <f t="shared" si="57"/>
        <v>14854.859090849979</v>
      </c>
      <c r="AM31" s="677">
        <f t="shared" si="57"/>
        <v>15003.407681758479</v>
      </c>
      <c r="AN31" s="677">
        <f t="shared" si="57"/>
        <v>15153.441758576064</v>
      </c>
      <c r="AO31" s="677">
        <f t="shared" si="57"/>
        <v>15304.976176161821</v>
      </c>
      <c r="AP31" s="677">
        <f t="shared" si="57"/>
        <v>15458.025937923441</v>
      </c>
    </row>
    <row r="32" spans="2:42" x14ac:dyDescent="0.25">
      <c r="B32" s="826" t="s">
        <v>770</v>
      </c>
      <c r="C32" s="797">
        <f>SUM(G32:AO32)</f>
        <v>136137.25059154301</v>
      </c>
      <c r="D32" s="827" t="s">
        <v>772</v>
      </c>
      <c r="E32" s="1007">
        <f>Assumptions!$D$60</f>
        <v>10.4</v>
      </c>
      <c r="F32" s="827"/>
      <c r="G32" s="828">
        <f t="shared" ref="G32:AP32" si="58">$E$32*$E$29*(1+$E$30)^(G4-2018)*G5</f>
        <v>0</v>
      </c>
      <c r="H32" s="828">
        <f t="shared" si="58"/>
        <v>0</v>
      </c>
      <c r="I32" s="828">
        <f t="shared" si="58"/>
        <v>0</v>
      </c>
      <c r="J32" s="828">
        <f t="shared" si="58"/>
        <v>0</v>
      </c>
      <c r="K32" s="828">
        <f t="shared" si="58"/>
        <v>0</v>
      </c>
      <c r="L32" s="828">
        <f t="shared" si="58"/>
        <v>0</v>
      </c>
      <c r="M32" s="828">
        <f t="shared" si="58"/>
        <v>4069.8257965982093</v>
      </c>
      <c r="N32" s="828">
        <f t="shared" si="58"/>
        <v>4110.5240545641927</v>
      </c>
      <c r="O32" s="828">
        <f t="shared" si="58"/>
        <v>4151.6292951098349</v>
      </c>
      <c r="P32" s="828">
        <f t="shared" si="58"/>
        <v>4193.1455880609328</v>
      </c>
      <c r="Q32" s="828">
        <f t="shared" si="58"/>
        <v>4235.0770439415419</v>
      </c>
      <c r="R32" s="828">
        <f t="shared" si="58"/>
        <v>4277.427814380957</v>
      </c>
      <c r="S32" s="828">
        <f t="shared" si="58"/>
        <v>4320.2020925247671</v>
      </c>
      <c r="T32" s="828">
        <f t="shared" si="58"/>
        <v>4363.4041134500148</v>
      </c>
      <c r="U32" s="828">
        <f t="shared" si="58"/>
        <v>4407.0381545845139</v>
      </c>
      <c r="V32" s="828">
        <f t="shared" si="58"/>
        <v>4451.1085361303603</v>
      </c>
      <c r="W32" s="828">
        <f t="shared" si="58"/>
        <v>4495.6196214916645</v>
      </c>
      <c r="X32" s="828">
        <f t="shared" si="58"/>
        <v>4540.5758177065809</v>
      </c>
      <c r="Y32" s="828">
        <f t="shared" si="58"/>
        <v>4585.9815758836457</v>
      </c>
      <c r="Z32" s="828">
        <f t="shared" si="58"/>
        <v>4631.8413916424824</v>
      </c>
      <c r="AA32" s="828">
        <f t="shared" si="58"/>
        <v>4678.1598055589075</v>
      </c>
      <c r="AB32" s="828">
        <f t="shared" si="58"/>
        <v>4724.9414036144972</v>
      </c>
      <c r="AC32" s="828">
        <f t="shared" si="58"/>
        <v>4772.1908176506413</v>
      </c>
      <c r="AD32" s="828">
        <f t="shared" si="58"/>
        <v>4819.9127258271492</v>
      </c>
      <c r="AE32" s="828">
        <f t="shared" si="58"/>
        <v>4868.111853085421</v>
      </c>
      <c r="AF32" s="828">
        <f t="shared" si="58"/>
        <v>4916.7929716162753</v>
      </c>
      <c r="AG32" s="828">
        <f t="shared" si="58"/>
        <v>4965.9609013324362</v>
      </c>
      <c r="AH32" s="828">
        <f t="shared" si="58"/>
        <v>5015.6205103457614</v>
      </c>
      <c r="AI32" s="828">
        <f t="shared" si="58"/>
        <v>5065.7767154492194</v>
      </c>
      <c r="AJ32" s="828">
        <f t="shared" si="58"/>
        <v>5116.4344826037122</v>
      </c>
      <c r="AK32" s="828">
        <f t="shared" si="58"/>
        <v>5167.5988274297479</v>
      </c>
      <c r="AL32" s="828">
        <f t="shared" si="58"/>
        <v>5219.274815704046</v>
      </c>
      <c r="AM32" s="828">
        <f t="shared" si="58"/>
        <v>5271.467563861087</v>
      </c>
      <c r="AN32" s="828">
        <f t="shared" si="58"/>
        <v>5324.182239499698</v>
      </c>
      <c r="AO32" s="828">
        <f t="shared" si="58"/>
        <v>5377.4240618946942</v>
      </c>
      <c r="AP32" s="828">
        <f t="shared" si="58"/>
        <v>5431.1983025136415</v>
      </c>
    </row>
    <row r="33" spans="2:42" x14ac:dyDescent="0.25">
      <c r="B33" s="790" t="s">
        <v>393</v>
      </c>
      <c r="C33" s="780">
        <f>SUM(G33:AO33)</f>
        <v>523604.80996747303</v>
      </c>
      <c r="D33" s="640"/>
      <c r="E33" s="640"/>
      <c r="F33" s="829"/>
      <c r="G33" s="754">
        <f>SUM(G31:G32)</f>
        <v>0</v>
      </c>
      <c r="H33" s="754">
        <f t="shared" ref="H33:AO33" si="59">SUM(H31:H32)</f>
        <v>0</v>
      </c>
      <c r="I33" s="754">
        <f t="shared" si="59"/>
        <v>0</v>
      </c>
      <c r="J33" s="754">
        <f t="shared" si="59"/>
        <v>0</v>
      </c>
      <c r="K33" s="754">
        <f t="shared" si="59"/>
        <v>0</v>
      </c>
      <c r="L33" s="754">
        <f t="shared" si="59"/>
        <v>0</v>
      </c>
      <c r="M33" s="754">
        <f t="shared" si="59"/>
        <v>15653.176140762345</v>
      </c>
      <c r="N33" s="754">
        <f t="shared" si="59"/>
        <v>15809.707902169972</v>
      </c>
      <c r="O33" s="754">
        <f t="shared" si="59"/>
        <v>15967.804981191672</v>
      </c>
      <c r="P33" s="754">
        <f t="shared" si="59"/>
        <v>16127.48303100359</v>
      </c>
      <c r="Q33" s="754">
        <f t="shared" si="59"/>
        <v>16288.757861313621</v>
      </c>
      <c r="R33" s="754">
        <f t="shared" si="59"/>
        <v>16451.64543992676</v>
      </c>
      <c r="S33" s="754">
        <f t="shared" si="59"/>
        <v>16616.161894326026</v>
      </c>
      <c r="T33" s="754">
        <f t="shared" si="59"/>
        <v>16782.32351326929</v>
      </c>
      <c r="U33" s="754">
        <f t="shared" si="59"/>
        <v>16950.146748401978</v>
      </c>
      <c r="V33" s="754">
        <f t="shared" si="59"/>
        <v>17119.648215886002</v>
      </c>
      <c r="W33" s="754">
        <f t="shared" si="59"/>
        <v>17290.844698044864</v>
      </c>
      <c r="X33" s="754">
        <f t="shared" si="59"/>
        <v>17463.753145025312</v>
      </c>
      <c r="Y33" s="754">
        <f t="shared" si="59"/>
        <v>17638.390676475563</v>
      </c>
      <c r="Z33" s="754">
        <f t="shared" si="59"/>
        <v>17814.77458324032</v>
      </c>
      <c r="AA33" s="754">
        <f t="shared" si="59"/>
        <v>17992.92232907272</v>
      </c>
      <c r="AB33" s="754">
        <f t="shared" si="59"/>
        <v>18172.851552363452</v>
      </c>
      <c r="AC33" s="754">
        <f t="shared" si="59"/>
        <v>18354.580067887084</v>
      </c>
      <c r="AD33" s="754">
        <f t="shared" si="59"/>
        <v>18538.125868565956</v>
      </c>
      <c r="AE33" s="754">
        <f t="shared" si="59"/>
        <v>18723.507127251622</v>
      </c>
      <c r="AF33" s="754">
        <f t="shared" si="59"/>
        <v>18910.742198524134</v>
      </c>
      <c r="AG33" s="754">
        <f t="shared" si="59"/>
        <v>19099.849620509369</v>
      </c>
      <c r="AH33" s="754">
        <f t="shared" si="59"/>
        <v>19290.848116714464</v>
      </c>
      <c r="AI33" s="754">
        <f t="shared" si="59"/>
        <v>19483.756597881613</v>
      </c>
      <c r="AJ33" s="754">
        <f t="shared" si="59"/>
        <v>19678.594163860434</v>
      </c>
      <c r="AK33" s="754">
        <f t="shared" si="59"/>
        <v>19875.380105499029</v>
      </c>
      <c r="AL33" s="754">
        <f t="shared" si="59"/>
        <v>20074.133906554023</v>
      </c>
      <c r="AM33" s="754">
        <f t="shared" si="59"/>
        <v>20274.875245619565</v>
      </c>
      <c r="AN33" s="754">
        <f t="shared" si="59"/>
        <v>20477.62399807576</v>
      </c>
      <c r="AO33" s="754">
        <f t="shared" si="59"/>
        <v>20682.400238056514</v>
      </c>
      <c r="AP33" s="754">
        <f t="shared" ref="AP33" si="60">SUM(AP31:AP32)</f>
        <v>20889.224240437085</v>
      </c>
    </row>
    <row r="34" spans="2:42" x14ac:dyDescent="0.25">
      <c r="B34" s="790"/>
      <c r="C34" s="780"/>
      <c r="E34" s="640"/>
      <c r="F34" s="829"/>
      <c r="G34" s="754"/>
      <c r="H34" s="754"/>
      <c r="I34" s="754"/>
      <c r="J34" s="754"/>
      <c r="K34" s="754"/>
      <c r="L34" s="754"/>
      <c r="M34" s="754"/>
      <c r="N34" s="754"/>
      <c r="O34" s="754"/>
      <c r="P34" s="754"/>
      <c r="Q34" s="754"/>
      <c r="R34" s="754"/>
      <c r="S34" s="754"/>
      <c r="T34" s="754"/>
      <c r="U34" s="754"/>
      <c r="V34" s="754"/>
      <c r="W34" s="754"/>
      <c r="X34" s="754"/>
      <c r="Y34" s="754"/>
      <c r="Z34" s="754"/>
      <c r="AA34" s="754"/>
      <c r="AB34" s="754"/>
      <c r="AC34" s="754"/>
      <c r="AD34" s="754"/>
      <c r="AE34" s="754"/>
      <c r="AF34" s="754"/>
      <c r="AG34" s="754"/>
      <c r="AH34" s="754"/>
      <c r="AI34" s="754"/>
      <c r="AJ34" s="754"/>
      <c r="AK34" s="754"/>
      <c r="AL34" s="754"/>
      <c r="AM34" s="754"/>
      <c r="AN34" s="754"/>
      <c r="AO34" s="754"/>
      <c r="AP34" s="754"/>
    </row>
    <row r="35" spans="2:42" x14ac:dyDescent="0.25">
      <c r="B35" s="1" t="s">
        <v>773</v>
      </c>
      <c r="C35" s="780"/>
      <c r="D35" s="785" t="s">
        <v>964</v>
      </c>
      <c r="E35" s="786">
        <v>1</v>
      </c>
      <c r="F35" s="829"/>
      <c r="G35" s="754"/>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row>
    <row r="36" spans="2:42" x14ac:dyDescent="0.25">
      <c r="B36" s="644" t="s">
        <v>769</v>
      </c>
      <c r="C36" s="780">
        <f>SUM(G36:AO36)</f>
        <v>1061.5549571943288</v>
      </c>
      <c r="E36" s="640"/>
      <c r="F36" s="773"/>
      <c r="G36" s="677">
        <f>G31/$E$29*$E$35</f>
        <v>0</v>
      </c>
      <c r="H36" s="677">
        <f t="shared" ref="H36:AO36" si="61">H31/$E$29*$E$35</f>
        <v>0</v>
      </c>
      <c r="I36" s="677">
        <f t="shared" si="61"/>
        <v>0</v>
      </c>
      <c r="J36" s="677">
        <f t="shared" si="61"/>
        <v>0</v>
      </c>
      <c r="K36" s="677">
        <f t="shared" si="61"/>
        <v>0</v>
      </c>
      <c r="L36" s="677">
        <f t="shared" si="61"/>
        <v>0</v>
      </c>
      <c r="M36" s="677">
        <f t="shared" si="61"/>
        <v>31.735206422367494</v>
      </c>
      <c r="N36" s="677">
        <f t="shared" si="61"/>
        <v>32.052558486591174</v>
      </c>
      <c r="O36" s="677">
        <f t="shared" si="61"/>
        <v>32.373084071457086</v>
      </c>
      <c r="P36" s="677">
        <f t="shared" si="61"/>
        <v>32.696814912171661</v>
      </c>
      <c r="Q36" s="677">
        <f t="shared" si="61"/>
        <v>33.023783061293372</v>
      </c>
      <c r="R36" s="677">
        <f t="shared" si="61"/>
        <v>33.354020891906309</v>
      </c>
      <c r="S36" s="677">
        <f t="shared" si="61"/>
        <v>33.68756110082537</v>
      </c>
      <c r="T36" s="677">
        <f t="shared" si="61"/>
        <v>34.02443671183363</v>
      </c>
      <c r="U36" s="677">
        <f t="shared" si="61"/>
        <v>34.364681078951953</v>
      </c>
      <c r="V36" s="677">
        <f t="shared" si="61"/>
        <v>34.708327889741483</v>
      </c>
      <c r="W36" s="677">
        <f t="shared" si="61"/>
        <v>35.055411168638898</v>
      </c>
      <c r="X36" s="677">
        <f t="shared" si="61"/>
        <v>35.40596528032529</v>
      </c>
      <c r="Y36" s="677">
        <f t="shared" si="61"/>
        <v>35.760024933128541</v>
      </c>
      <c r="Z36" s="677">
        <f t="shared" si="61"/>
        <v>36.117625182459825</v>
      </c>
      <c r="AA36" s="677">
        <f t="shared" si="61"/>
        <v>36.478801434284421</v>
      </c>
      <c r="AB36" s="677">
        <f t="shared" si="61"/>
        <v>36.843589448627277</v>
      </c>
      <c r="AC36" s="677">
        <f t="shared" si="61"/>
        <v>37.212025343113538</v>
      </c>
      <c r="AD36" s="677">
        <f t="shared" si="61"/>
        <v>37.58414559654468</v>
      </c>
      <c r="AE36" s="677">
        <f t="shared" si="61"/>
        <v>37.959987052510137</v>
      </c>
      <c r="AF36" s="677">
        <f t="shared" si="61"/>
        <v>38.339586923035235</v>
      </c>
      <c r="AG36" s="677">
        <f t="shared" si="61"/>
        <v>38.722982792265569</v>
      </c>
      <c r="AH36" s="677">
        <f t="shared" si="61"/>
        <v>39.110212620188229</v>
      </c>
      <c r="AI36" s="677">
        <f t="shared" si="61"/>
        <v>39.501314746390122</v>
      </c>
      <c r="AJ36" s="677">
        <f t="shared" si="61"/>
        <v>39.896327893854028</v>
      </c>
      <c r="AK36" s="677">
        <f t="shared" si="61"/>
        <v>40.295291172792552</v>
      </c>
      <c r="AL36" s="677">
        <f t="shared" si="61"/>
        <v>40.698244084520489</v>
      </c>
      <c r="AM36" s="677">
        <f t="shared" si="61"/>
        <v>41.105226525365694</v>
      </c>
      <c r="AN36" s="677">
        <f t="shared" si="61"/>
        <v>41.516278790619353</v>
      </c>
      <c r="AO36" s="677">
        <f t="shared" si="61"/>
        <v>41.931441578525536</v>
      </c>
      <c r="AP36" s="677">
        <f t="shared" ref="AP36" si="62">AP31/$E$29*$E$35</f>
        <v>42.350755994310795</v>
      </c>
    </row>
    <row r="37" spans="2:42" x14ac:dyDescent="0.25">
      <c r="B37" s="826" t="s">
        <v>770</v>
      </c>
      <c r="C37" s="797">
        <f>SUM(G37:AO37)</f>
        <v>372.97876874395337</v>
      </c>
      <c r="D37" s="827"/>
      <c r="E37" s="830"/>
      <c r="F37" s="827"/>
      <c r="G37" s="828">
        <f>G32/$E$29*$E$35</f>
        <v>0</v>
      </c>
      <c r="H37" s="828">
        <f t="shared" ref="H37:AO37" si="63">H32/$E$29*$E$35</f>
        <v>0</v>
      </c>
      <c r="I37" s="828">
        <f t="shared" si="63"/>
        <v>0</v>
      </c>
      <c r="J37" s="828">
        <f t="shared" si="63"/>
        <v>0</v>
      </c>
      <c r="K37" s="828">
        <f t="shared" si="63"/>
        <v>0</v>
      </c>
      <c r="L37" s="828">
        <f t="shared" si="63"/>
        <v>0</v>
      </c>
      <c r="M37" s="828">
        <f t="shared" si="63"/>
        <v>11.150207661912901</v>
      </c>
      <c r="N37" s="828">
        <f t="shared" si="63"/>
        <v>11.261709738532035</v>
      </c>
      <c r="O37" s="828">
        <f t="shared" si="63"/>
        <v>11.374326835917357</v>
      </c>
      <c r="P37" s="828">
        <f t="shared" si="63"/>
        <v>11.488070104276527</v>
      </c>
      <c r="Q37" s="828">
        <f t="shared" si="63"/>
        <v>11.602950805319292</v>
      </c>
      <c r="R37" s="828">
        <f t="shared" si="63"/>
        <v>11.718980313372485</v>
      </c>
      <c r="S37" s="828">
        <f t="shared" si="63"/>
        <v>11.836170116506212</v>
      </c>
      <c r="T37" s="828">
        <f t="shared" si="63"/>
        <v>11.954531817671274</v>
      </c>
      <c r="U37" s="828">
        <f t="shared" si="63"/>
        <v>12.074077135847983</v>
      </c>
      <c r="V37" s="828">
        <f t="shared" si="63"/>
        <v>12.194817907206467</v>
      </c>
      <c r="W37" s="828">
        <f t="shared" si="63"/>
        <v>12.316766086278532</v>
      </c>
      <c r="X37" s="828">
        <f t="shared" si="63"/>
        <v>12.439933747141318</v>
      </c>
      <c r="Y37" s="828">
        <f t="shared" si="63"/>
        <v>12.564333084612729</v>
      </c>
      <c r="Z37" s="828">
        <f t="shared" si="63"/>
        <v>12.689976415458856</v>
      </c>
      <c r="AA37" s="828">
        <f t="shared" si="63"/>
        <v>12.816876179613445</v>
      </c>
      <c r="AB37" s="828">
        <f t="shared" si="63"/>
        <v>12.945044941409581</v>
      </c>
      <c r="AC37" s="828">
        <f t="shared" si="63"/>
        <v>13.074495390823675</v>
      </c>
      <c r="AD37" s="828">
        <f t="shared" si="63"/>
        <v>13.205240344731916</v>
      </c>
      <c r="AE37" s="828">
        <f t="shared" si="63"/>
        <v>13.337292748179236</v>
      </c>
      <c r="AF37" s="828">
        <f t="shared" si="63"/>
        <v>13.470665675661028</v>
      </c>
      <c r="AG37" s="828">
        <f t="shared" si="63"/>
        <v>13.605372332417634</v>
      </c>
      <c r="AH37" s="828">
        <f t="shared" si="63"/>
        <v>13.741426055741812</v>
      </c>
      <c r="AI37" s="828">
        <f t="shared" si="63"/>
        <v>13.878840316299231</v>
      </c>
      <c r="AJ37" s="828">
        <f t="shared" si="63"/>
        <v>14.017628719462225</v>
      </c>
      <c r="AK37" s="828">
        <f t="shared" si="63"/>
        <v>14.157805006656844</v>
      </c>
      <c r="AL37" s="828">
        <f t="shared" si="63"/>
        <v>14.299383056723414</v>
      </c>
      <c r="AM37" s="828">
        <f t="shared" si="63"/>
        <v>14.442376887290649</v>
      </c>
      <c r="AN37" s="828">
        <f t="shared" si="63"/>
        <v>14.586800656163556</v>
      </c>
      <c r="AO37" s="828">
        <f t="shared" si="63"/>
        <v>14.732668662725189</v>
      </c>
      <c r="AP37" s="828">
        <f t="shared" ref="AP37" si="64">AP32/$E$29*$E$35</f>
        <v>14.879995349352443</v>
      </c>
    </row>
    <row r="38" spans="2:42" x14ac:dyDescent="0.25">
      <c r="B38" s="790" t="s">
        <v>393</v>
      </c>
      <c r="C38" s="780">
        <f>SUM(G38:AO38)</f>
        <v>1434.533725938282</v>
      </c>
      <c r="D38" s="829"/>
      <c r="E38" s="829"/>
      <c r="F38" s="829"/>
      <c r="G38" s="754">
        <f>SUM(G36:G37)</f>
        <v>0</v>
      </c>
      <c r="H38" s="754">
        <f t="shared" ref="H38:AO38" si="65">SUM(H36:H37)</f>
        <v>0</v>
      </c>
      <c r="I38" s="754">
        <f t="shared" si="65"/>
        <v>0</v>
      </c>
      <c r="J38" s="754">
        <f t="shared" si="65"/>
        <v>0</v>
      </c>
      <c r="K38" s="754">
        <f t="shared" si="65"/>
        <v>0</v>
      </c>
      <c r="L38" s="754">
        <f t="shared" si="65"/>
        <v>0</v>
      </c>
      <c r="M38" s="754">
        <f t="shared" si="65"/>
        <v>42.885414084280399</v>
      </c>
      <c r="N38" s="754">
        <f t="shared" si="65"/>
        <v>43.314268225123207</v>
      </c>
      <c r="O38" s="754">
        <f t="shared" si="65"/>
        <v>43.747410907374444</v>
      </c>
      <c r="P38" s="754">
        <f t="shared" si="65"/>
        <v>44.184885016448192</v>
      </c>
      <c r="Q38" s="754">
        <f t="shared" si="65"/>
        <v>44.626733866612668</v>
      </c>
      <c r="R38" s="754">
        <f t="shared" si="65"/>
        <v>45.073001205278793</v>
      </c>
      <c r="S38" s="754">
        <f t="shared" si="65"/>
        <v>45.52373121733158</v>
      </c>
      <c r="T38" s="754">
        <f t="shared" si="65"/>
        <v>45.978968529504904</v>
      </c>
      <c r="U38" s="754">
        <f t="shared" si="65"/>
        <v>46.438758214799932</v>
      </c>
      <c r="V38" s="754">
        <f t="shared" si="65"/>
        <v>46.903145796947953</v>
      </c>
      <c r="W38" s="754">
        <f t="shared" si="65"/>
        <v>47.372177254917432</v>
      </c>
      <c r="X38" s="754">
        <f t="shared" si="65"/>
        <v>47.845899027466608</v>
      </c>
      <c r="Y38" s="754">
        <f t="shared" si="65"/>
        <v>48.324358017741268</v>
      </c>
      <c r="Z38" s="754">
        <f t="shared" si="65"/>
        <v>48.807601597918683</v>
      </c>
      <c r="AA38" s="754">
        <f t="shared" si="65"/>
        <v>49.295677613897865</v>
      </c>
      <c r="AB38" s="754">
        <f t="shared" si="65"/>
        <v>49.788634390036862</v>
      </c>
      <c r="AC38" s="754">
        <f t="shared" si="65"/>
        <v>50.286520733937209</v>
      </c>
      <c r="AD38" s="754">
        <f t="shared" si="65"/>
        <v>50.789385941276592</v>
      </c>
      <c r="AE38" s="754">
        <f t="shared" si="65"/>
        <v>51.297279800689374</v>
      </c>
      <c r="AF38" s="754">
        <f t="shared" si="65"/>
        <v>51.810252598696266</v>
      </c>
      <c r="AG38" s="754">
        <f t="shared" si="65"/>
        <v>52.328355124683199</v>
      </c>
      <c r="AH38" s="754">
        <f t="shared" si="65"/>
        <v>52.85163867593004</v>
      </c>
      <c r="AI38" s="754">
        <f t="shared" si="65"/>
        <v>53.380155062689354</v>
      </c>
      <c r="AJ38" s="754">
        <f t="shared" si="65"/>
        <v>53.913956613316252</v>
      </c>
      <c r="AK38" s="754">
        <f t="shared" si="65"/>
        <v>54.453096179449396</v>
      </c>
      <c r="AL38" s="754">
        <f t="shared" si="65"/>
        <v>54.997627141243903</v>
      </c>
      <c r="AM38" s="754">
        <f t="shared" si="65"/>
        <v>55.547603412656343</v>
      </c>
      <c r="AN38" s="754">
        <f t="shared" si="65"/>
        <v>56.103079446782907</v>
      </c>
      <c r="AO38" s="754">
        <f t="shared" si="65"/>
        <v>56.664110241250725</v>
      </c>
      <c r="AP38" s="754">
        <f t="shared" ref="AP38" si="66">SUM(AP36:AP37)</f>
        <v>57.230751343663236</v>
      </c>
    </row>
    <row r="39" spans="2:42" x14ac:dyDescent="0.25">
      <c r="B39" s="1"/>
      <c r="C39" s="780"/>
      <c r="D39" s="773"/>
      <c r="E39" s="825"/>
      <c r="F39" s="773"/>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801"/>
      <c r="AM39" s="801"/>
    </row>
    <row r="40" spans="2:42" s="650" customFormat="1" x14ac:dyDescent="0.25">
      <c r="B40" s="1" t="s">
        <v>775</v>
      </c>
      <c r="C40" s="780">
        <f>SUM(G40:AO40)</f>
        <v>573813.49037531286</v>
      </c>
      <c r="D40" s="773" t="s">
        <v>1039</v>
      </c>
      <c r="E40" s="1007">
        <f>Assumptions!$D$62</f>
        <v>400</v>
      </c>
      <c r="G40" s="802">
        <f>G36*$E$40</f>
        <v>0</v>
      </c>
      <c r="H40" s="802">
        <f t="shared" ref="H40:AO40" si="67">H38*$E$40</f>
        <v>0</v>
      </c>
      <c r="I40" s="802">
        <f t="shared" si="67"/>
        <v>0</v>
      </c>
      <c r="J40" s="802">
        <f t="shared" si="67"/>
        <v>0</v>
      </c>
      <c r="K40" s="802">
        <f t="shared" si="67"/>
        <v>0</v>
      </c>
      <c r="L40" s="802">
        <f t="shared" si="67"/>
        <v>0</v>
      </c>
      <c r="M40" s="802">
        <f t="shared" si="67"/>
        <v>17154.16563371216</v>
      </c>
      <c r="N40" s="802">
        <f t="shared" si="67"/>
        <v>17325.707290049282</v>
      </c>
      <c r="O40" s="802">
        <f t="shared" si="67"/>
        <v>17498.964362949777</v>
      </c>
      <c r="P40" s="802">
        <f t="shared" si="67"/>
        <v>17673.954006579275</v>
      </c>
      <c r="Q40" s="802">
        <f t="shared" si="67"/>
        <v>17850.693546645067</v>
      </c>
      <c r="R40" s="802">
        <f t="shared" si="67"/>
        <v>18029.200482111519</v>
      </c>
      <c r="S40" s="802">
        <f t="shared" si="67"/>
        <v>18209.492486932631</v>
      </c>
      <c r="T40" s="802">
        <f t="shared" si="67"/>
        <v>18391.58741180196</v>
      </c>
      <c r="U40" s="802">
        <f t="shared" si="67"/>
        <v>18575.503285919975</v>
      </c>
      <c r="V40" s="802">
        <f t="shared" si="67"/>
        <v>18761.258318779182</v>
      </c>
      <c r="W40" s="802">
        <f t="shared" si="67"/>
        <v>18948.870901966973</v>
      </c>
      <c r="X40" s="802">
        <f t="shared" si="67"/>
        <v>19138.359610986645</v>
      </c>
      <c r="Y40" s="802">
        <f t="shared" si="67"/>
        <v>19329.743207096508</v>
      </c>
      <c r="Z40" s="802">
        <f t="shared" si="67"/>
        <v>19523.040639167473</v>
      </c>
      <c r="AA40" s="802">
        <f t="shared" si="67"/>
        <v>19718.271045559148</v>
      </c>
      <c r="AB40" s="802">
        <f t="shared" si="67"/>
        <v>19915.453756014744</v>
      </c>
      <c r="AC40" s="802">
        <f t="shared" si="67"/>
        <v>20114.608293574885</v>
      </c>
      <c r="AD40" s="802">
        <f t="shared" si="67"/>
        <v>20315.754376510638</v>
      </c>
      <c r="AE40" s="802">
        <f t="shared" si="67"/>
        <v>20518.91192027575</v>
      </c>
      <c r="AF40" s="802">
        <f t="shared" si="67"/>
        <v>20724.101039478508</v>
      </c>
      <c r="AG40" s="802">
        <f t="shared" si="67"/>
        <v>20931.342049873281</v>
      </c>
      <c r="AH40" s="802">
        <f t="shared" si="67"/>
        <v>21140.655470372018</v>
      </c>
      <c r="AI40" s="802">
        <f t="shared" si="67"/>
        <v>21352.062025075742</v>
      </c>
      <c r="AJ40" s="802">
        <f t="shared" si="67"/>
        <v>21565.5826453265</v>
      </c>
      <c r="AK40" s="802">
        <f t="shared" si="67"/>
        <v>21781.238471779758</v>
      </c>
      <c r="AL40" s="802">
        <f t="shared" si="67"/>
        <v>21999.050856497561</v>
      </c>
      <c r="AM40" s="802">
        <f t="shared" si="67"/>
        <v>22219.041365062538</v>
      </c>
      <c r="AN40" s="802">
        <f t="shared" si="67"/>
        <v>22441.231778713161</v>
      </c>
      <c r="AO40" s="802">
        <f t="shared" si="67"/>
        <v>22665.644096500291</v>
      </c>
      <c r="AP40" s="802">
        <f t="shared" ref="AP40" si="68">AP38*$E$40</f>
        <v>22892.300537465293</v>
      </c>
    </row>
    <row r="41" spans="2:42" s="650" customFormat="1" x14ac:dyDescent="0.25">
      <c r="B41" s="1" t="s">
        <v>776</v>
      </c>
      <c r="C41" s="780">
        <f>SUM(G41:AO41)</f>
        <v>28690.674518765649</v>
      </c>
      <c r="D41" s="773" t="s">
        <v>765</v>
      </c>
      <c r="E41" s="1007">
        <f>Assumptions!$D$63</f>
        <v>20</v>
      </c>
      <c r="G41" s="802">
        <f>G40/$E$41</f>
        <v>0</v>
      </c>
      <c r="H41" s="802">
        <f t="shared" ref="H41:AO41" si="69">H40/$E$41</f>
        <v>0</v>
      </c>
      <c r="I41" s="802">
        <f t="shared" si="69"/>
        <v>0</v>
      </c>
      <c r="J41" s="802">
        <f t="shared" si="69"/>
        <v>0</v>
      </c>
      <c r="K41" s="802">
        <f t="shared" si="69"/>
        <v>0</v>
      </c>
      <c r="L41" s="802">
        <f t="shared" si="69"/>
        <v>0</v>
      </c>
      <c r="M41" s="802">
        <f t="shared" si="69"/>
        <v>857.70828168560797</v>
      </c>
      <c r="N41" s="802">
        <f t="shared" si="69"/>
        <v>866.28536450246406</v>
      </c>
      <c r="O41" s="802">
        <f t="shared" si="69"/>
        <v>874.94821814748889</v>
      </c>
      <c r="P41" s="802">
        <f t="shared" si="69"/>
        <v>883.69770032896372</v>
      </c>
      <c r="Q41" s="802">
        <f t="shared" si="69"/>
        <v>892.5346773322533</v>
      </c>
      <c r="R41" s="802">
        <f t="shared" si="69"/>
        <v>901.46002410557594</v>
      </c>
      <c r="S41" s="802">
        <f t="shared" si="69"/>
        <v>910.47462434663157</v>
      </c>
      <c r="T41" s="802">
        <f t="shared" si="69"/>
        <v>919.57937059009805</v>
      </c>
      <c r="U41" s="802">
        <f t="shared" si="69"/>
        <v>928.77516429599871</v>
      </c>
      <c r="V41" s="802">
        <f t="shared" si="69"/>
        <v>938.06291593895912</v>
      </c>
      <c r="W41" s="802">
        <f t="shared" si="69"/>
        <v>947.44354509834864</v>
      </c>
      <c r="X41" s="802">
        <f t="shared" si="69"/>
        <v>956.91798054933224</v>
      </c>
      <c r="Y41" s="802">
        <f t="shared" si="69"/>
        <v>966.48716035482539</v>
      </c>
      <c r="Z41" s="802">
        <f t="shared" si="69"/>
        <v>976.15203195837364</v>
      </c>
      <c r="AA41" s="802">
        <f t="shared" si="69"/>
        <v>985.91355227795736</v>
      </c>
      <c r="AB41" s="802">
        <f t="shared" si="69"/>
        <v>995.77268780073723</v>
      </c>
      <c r="AC41" s="802">
        <f t="shared" si="69"/>
        <v>1005.7304146787443</v>
      </c>
      <c r="AD41" s="802">
        <f t="shared" si="69"/>
        <v>1015.7877188255319</v>
      </c>
      <c r="AE41" s="802">
        <f t="shared" si="69"/>
        <v>1025.9455960137875</v>
      </c>
      <c r="AF41" s="802">
        <f t="shared" si="69"/>
        <v>1036.2050519739255</v>
      </c>
      <c r="AG41" s="802">
        <f t="shared" si="69"/>
        <v>1046.5671024936642</v>
      </c>
      <c r="AH41" s="802">
        <f t="shared" si="69"/>
        <v>1057.0327735186008</v>
      </c>
      <c r="AI41" s="802">
        <f t="shared" si="69"/>
        <v>1067.6031012537871</v>
      </c>
      <c r="AJ41" s="802">
        <f t="shared" si="69"/>
        <v>1078.279132266325</v>
      </c>
      <c r="AK41" s="802">
        <f t="shared" si="69"/>
        <v>1089.0619235889878</v>
      </c>
      <c r="AL41" s="802">
        <f t="shared" si="69"/>
        <v>1099.952542824878</v>
      </c>
      <c r="AM41" s="802">
        <f t="shared" si="69"/>
        <v>1110.952068253127</v>
      </c>
      <c r="AN41" s="802">
        <f t="shared" si="69"/>
        <v>1122.0615889356582</v>
      </c>
      <c r="AO41" s="802">
        <f t="shared" si="69"/>
        <v>1133.2822048250146</v>
      </c>
      <c r="AP41" s="802">
        <f t="shared" ref="AP41" si="70">AP40/$E$41</f>
        <v>1144.6150268732647</v>
      </c>
    </row>
    <row r="42" spans="2:42" s="650" customFormat="1" x14ac:dyDescent="0.25">
      <c r="E42" s="1011"/>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677"/>
      <c r="AI42" s="677"/>
      <c r="AJ42" s="677"/>
      <c r="AK42" s="677"/>
      <c r="AL42" s="677"/>
      <c r="AM42" s="677"/>
    </row>
    <row r="43" spans="2:42" s="650" customFormat="1" x14ac:dyDescent="0.25">
      <c r="B43" s="770" t="s">
        <v>778</v>
      </c>
      <c r="C43" s="780"/>
      <c r="E43" s="1011"/>
      <c r="F43" s="767"/>
      <c r="G43" s="802"/>
      <c r="H43" s="802"/>
      <c r="I43" s="802"/>
      <c r="J43" s="802"/>
      <c r="K43" s="802"/>
      <c r="L43" s="802"/>
      <c r="M43" s="802"/>
      <c r="N43" s="802"/>
      <c r="O43" s="802"/>
      <c r="P43" s="802"/>
      <c r="Q43" s="802"/>
      <c r="R43" s="802"/>
      <c r="S43" s="802"/>
      <c r="T43" s="802"/>
      <c r="U43" s="802"/>
      <c r="V43" s="802"/>
      <c r="W43" s="802"/>
      <c r="X43" s="802"/>
      <c r="Y43" s="802"/>
      <c r="Z43" s="802"/>
      <c r="AA43" s="802"/>
      <c r="AB43" s="802"/>
      <c r="AC43" s="802"/>
      <c r="AD43" s="802"/>
      <c r="AE43" s="802"/>
      <c r="AF43" s="802"/>
      <c r="AG43" s="802"/>
      <c r="AH43" s="802"/>
      <c r="AI43" s="802"/>
      <c r="AJ43" s="802"/>
      <c r="AK43" s="802"/>
      <c r="AL43" s="802"/>
      <c r="AM43" s="802"/>
      <c r="AN43" s="802"/>
      <c r="AO43" s="802"/>
      <c r="AP43" s="802"/>
    </row>
    <row r="44" spans="2:42" s="650" customFormat="1" x14ac:dyDescent="0.25">
      <c r="B44" s="644" t="s">
        <v>769</v>
      </c>
      <c r="C44" s="780">
        <f>SUM(G44:AO44)</f>
        <v>5307774.7859716443</v>
      </c>
      <c r="D44" s="773" t="s">
        <v>754</v>
      </c>
      <c r="E44" s="1007">
        <f>Assumptions!$D$65</f>
        <v>50</v>
      </c>
      <c r="F44" s="767"/>
      <c r="G44" s="802">
        <f>G36*$E$44*$E$45</f>
        <v>0</v>
      </c>
      <c r="H44" s="802">
        <f t="shared" ref="H44:AO44" si="71">H36*$E$44*$E$45</f>
        <v>0</v>
      </c>
      <c r="I44" s="802">
        <f t="shared" si="71"/>
        <v>0</v>
      </c>
      <c r="J44" s="802">
        <f t="shared" si="71"/>
        <v>0</v>
      </c>
      <c r="K44" s="802">
        <f t="shared" si="71"/>
        <v>0</v>
      </c>
      <c r="L44" s="802">
        <f t="shared" si="71"/>
        <v>0</v>
      </c>
      <c r="M44" s="802">
        <f t="shared" si="71"/>
        <v>158676.03211183747</v>
      </c>
      <c r="N44" s="802">
        <f t="shared" si="71"/>
        <v>160262.79243295587</v>
      </c>
      <c r="O44" s="802">
        <f t="shared" si="71"/>
        <v>161865.42035728545</v>
      </c>
      <c r="P44" s="802">
        <f t="shared" si="71"/>
        <v>163484.07456085831</v>
      </c>
      <c r="Q44" s="802">
        <f t="shared" si="71"/>
        <v>165118.91530646686</v>
      </c>
      <c r="R44" s="802">
        <f t="shared" si="71"/>
        <v>166770.10445953155</v>
      </c>
      <c r="S44" s="802">
        <f t="shared" si="71"/>
        <v>168437.80550412685</v>
      </c>
      <c r="T44" s="802">
        <f t="shared" si="71"/>
        <v>170122.18355916816</v>
      </c>
      <c r="U44" s="802">
        <f t="shared" si="71"/>
        <v>171823.40539475976</v>
      </c>
      <c r="V44" s="802">
        <f t="shared" si="71"/>
        <v>173541.6394487074</v>
      </c>
      <c r="W44" s="802">
        <f t="shared" si="71"/>
        <v>175277.05584319448</v>
      </c>
      <c r="X44" s="802">
        <f t="shared" si="71"/>
        <v>177029.82640162646</v>
      </c>
      <c r="Y44" s="802">
        <f t="shared" si="71"/>
        <v>178800.12466564271</v>
      </c>
      <c r="Z44" s="802">
        <f t="shared" si="71"/>
        <v>180588.12591229912</v>
      </c>
      <c r="AA44" s="802">
        <f t="shared" si="71"/>
        <v>182394.0071714221</v>
      </c>
      <c r="AB44" s="802">
        <f t="shared" si="71"/>
        <v>184217.94724313638</v>
      </c>
      <c r="AC44" s="802">
        <f t="shared" si="71"/>
        <v>186060.12671556769</v>
      </c>
      <c r="AD44" s="802">
        <f t="shared" si="71"/>
        <v>187920.72798272342</v>
      </c>
      <c r="AE44" s="802">
        <f t="shared" si="71"/>
        <v>189799.93526255069</v>
      </c>
      <c r="AF44" s="802">
        <f t="shared" si="71"/>
        <v>191697.93461517617</v>
      </c>
      <c r="AG44" s="802">
        <f t="shared" si="71"/>
        <v>193614.91396132784</v>
      </c>
      <c r="AH44" s="802">
        <f t="shared" si="71"/>
        <v>195551.06310094113</v>
      </c>
      <c r="AI44" s="802">
        <f t="shared" si="71"/>
        <v>197506.5737319506</v>
      </c>
      <c r="AJ44" s="802">
        <f t="shared" si="71"/>
        <v>199481.63946927013</v>
      </c>
      <c r="AK44" s="802">
        <f t="shared" si="71"/>
        <v>201476.45586396276</v>
      </c>
      <c r="AL44" s="802">
        <f t="shared" si="71"/>
        <v>203491.22042260243</v>
      </c>
      <c r="AM44" s="802">
        <f t="shared" si="71"/>
        <v>205526.13262682848</v>
      </c>
      <c r="AN44" s="802">
        <f t="shared" si="71"/>
        <v>207581.39395309676</v>
      </c>
      <c r="AO44" s="802">
        <f t="shared" si="71"/>
        <v>209657.20789262769</v>
      </c>
      <c r="AP44" s="802">
        <f t="shared" ref="AP44" si="72">AP36*$E$44*$E$45</f>
        <v>211753.77997155397</v>
      </c>
    </row>
    <row r="45" spans="2:42" s="650" customFormat="1" x14ac:dyDescent="0.25">
      <c r="B45" s="826" t="s">
        <v>770</v>
      </c>
      <c r="C45" s="797">
        <f>SUM(G45:AO45)</f>
        <v>1864893.8437197672</v>
      </c>
      <c r="D45" s="827" t="s">
        <v>755</v>
      </c>
      <c r="E45" s="1007">
        <f>Assumptions!$D$66</f>
        <v>100</v>
      </c>
      <c r="F45" s="832"/>
      <c r="G45" s="806">
        <f>G37*$E$44*$E$45</f>
        <v>0</v>
      </c>
      <c r="H45" s="806">
        <f t="shared" ref="H45:AO45" si="73">H37*$E$44*$E$45</f>
        <v>0</v>
      </c>
      <c r="I45" s="806">
        <f t="shared" si="73"/>
        <v>0</v>
      </c>
      <c r="J45" s="806">
        <f t="shared" si="73"/>
        <v>0</v>
      </c>
      <c r="K45" s="806">
        <f t="shared" si="73"/>
        <v>0</v>
      </c>
      <c r="L45" s="806">
        <f t="shared" si="73"/>
        <v>0</v>
      </c>
      <c r="M45" s="806">
        <f t="shared" si="73"/>
        <v>55751.038309564501</v>
      </c>
      <c r="N45" s="806">
        <f t="shared" si="73"/>
        <v>56308.548692660181</v>
      </c>
      <c r="O45" s="806">
        <f t="shared" si="73"/>
        <v>56871.634179586785</v>
      </c>
      <c r="P45" s="806">
        <f t="shared" si="73"/>
        <v>57440.350521382643</v>
      </c>
      <c r="Q45" s="806">
        <f t="shared" si="73"/>
        <v>58014.754026596464</v>
      </c>
      <c r="R45" s="806">
        <f t="shared" si="73"/>
        <v>58594.901566862427</v>
      </c>
      <c r="S45" s="806">
        <f t="shared" si="73"/>
        <v>59180.850582531057</v>
      </c>
      <c r="T45" s="806">
        <f t="shared" si="73"/>
        <v>59772.659088356377</v>
      </c>
      <c r="U45" s="806">
        <f t="shared" si="73"/>
        <v>60370.385679239916</v>
      </c>
      <c r="V45" s="806">
        <f t="shared" si="73"/>
        <v>60974.089536032327</v>
      </c>
      <c r="W45" s="806">
        <f t="shared" si="73"/>
        <v>61583.830431392664</v>
      </c>
      <c r="X45" s="806">
        <f t="shared" si="73"/>
        <v>62199.668735706589</v>
      </c>
      <c r="Y45" s="806">
        <f t="shared" si="73"/>
        <v>62821.665423063641</v>
      </c>
      <c r="Z45" s="806">
        <f t="shared" si="73"/>
        <v>63449.882077294285</v>
      </c>
      <c r="AA45" s="806">
        <f t="shared" si="73"/>
        <v>64084.380898067233</v>
      </c>
      <c r="AB45" s="806">
        <f t="shared" si="73"/>
        <v>64725.224707047906</v>
      </c>
      <c r="AC45" s="806">
        <f t="shared" si="73"/>
        <v>65372.47695411837</v>
      </c>
      <c r="AD45" s="806">
        <f t="shared" si="73"/>
        <v>66026.201723659571</v>
      </c>
      <c r="AE45" s="806">
        <f t="shared" si="73"/>
        <v>66686.463740896186</v>
      </c>
      <c r="AF45" s="806">
        <f t="shared" si="73"/>
        <v>67353.328378305145</v>
      </c>
      <c r="AG45" s="806">
        <f t="shared" si="73"/>
        <v>68026.86166208818</v>
      </c>
      <c r="AH45" s="806">
        <f t="shared" si="73"/>
        <v>68707.130278709068</v>
      </c>
      <c r="AI45" s="806">
        <f t="shared" si="73"/>
        <v>69394.201581496163</v>
      </c>
      <c r="AJ45" s="806">
        <f t="shared" si="73"/>
        <v>70088.143597311122</v>
      </c>
      <c r="AK45" s="806">
        <f t="shared" si="73"/>
        <v>70789.025033284226</v>
      </c>
      <c r="AL45" s="806">
        <f t="shared" si="73"/>
        <v>71496.915283617069</v>
      </c>
      <c r="AM45" s="806">
        <f t="shared" si="73"/>
        <v>72211.884436453256</v>
      </c>
      <c r="AN45" s="806">
        <f t="shared" si="73"/>
        <v>72934.003280817778</v>
      </c>
      <c r="AO45" s="806">
        <f t="shared" si="73"/>
        <v>73663.343313625941</v>
      </c>
      <c r="AP45" s="806">
        <f t="shared" ref="AP45" si="74">AP37*$E$44*$E$45</f>
        <v>74399.976746762215</v>
      </c>
    </row>
    <row r="46" spans="2:42" s="650" customFormat="1" x14ac:dyDescent="0.25">
      <c r="B46" s="790" t="s">
        <v>393</v>
      </c>
      <c r="C46" s="780">
        <f>SUM(G46:AO46)</f>
        <v>7172668.6296914099</v>
      </c>
      <c r="E46" s="773"/>
      <c r="F46" s="767"/>
      <c r="G46" s="831">
        <f>SUM(G44:G45)</f>
        <v>0</v>
      </c>
      <c r="H46" s="831">
        <f t="shared" ref="H46:AO46" si="75">SUM(H44:H45)</f>
        <v>0</v>
      </c>
      <c r="I46" s="831">
        <f t="shared" si="75"/>
        <v>0</v>
      </c>
      <c r="J46" s="831">
        <f t="shared" si="75"/>
        <v>0</v>
      </c>
      <c r="K46" s="831">
        <f t="shared" si="75"/>
        <v>0</v>
      </c>
      <c r="L46" s="831">
        <f t="shared" si="75"/>
        <v>0</v>
      </c>
      <c r="M46" s="831">
        <f t="shared" si="75"/>
        <v>214427.07042140196</v>
      </c>
      <c r="N46" s="831">
        <f t="shared" si="75"/>
        <v>216571.34112561605</v>
      </c>
      <c r="O46" s="831">
        <f t="shared" si="75"/>
        <v>218737.05453687222</v>
      </c>
      <c r="P46" s="831">
        <f t="shared" si="75"/>
        <v>220924.42508224095</v>
      </c>
      <c r="Q46" s="831">
        <f t="shared" si="75"/>
        <v>223133.66933306333</v>
      </c>
      <c r="R46" s="831">
        <f t="shared" si="75"/>
        <v>225365.00602639397</v>
      </c>
      <c r="S46" s="831">
        <f t="shared" si="75"/>
        <v>227618.65608665789</v>
      </c>
      <c r="T46" s="831">
        <f t="shared" si="75"/>
        <v>229894.84264752455</v>
      </c>
      <c r="U46" s="831">
        <f t="shared" si="75"/>
        <v>232193.79107399966</v>
      </c>
      <c r="V46" s="831">
        <f t="shared" si="75"/>
        <v>234515.72898473972</v>
      </c>
      <c r="W46" s="831">
        <f t="shared" si="75"/>
        <v>236860.88627458713</v>
      </c>
      <c r="X46" s="831">
        <f t="shared" si="75"/>
        <v>239229.49513733306</v>
      </c>
      <c r="Y46" s="831">
        <f t="shared" si="75"/>
        <v>241621.79008870636</v>
      </c>
      <c r="Z46" s="831">
        <f t="shared" si="75"/>
        <v>244038.0079895934</v>
      </c>
      <c r="AA46" s="831">
        <f t="shared" si="75"/>
        <v>246478.38806948933</v>
      </c>
      <c r="AB46" s="831">
        <f t="shared" si="75"/>
        <v>248943.17195018427</v>
      </c>
      <c r="AC46" s="831">
        <f t="shared" si="75"/>
        <v>251432.60366968607</v>
      </c>
      <c r="AD46" s="831">
        <f t="shared" si="75"/>
        <v>253946.92970638297</v>
      </c>
      <c r="AE46" s="831">
        <f t="shared" si="75"/>
        <v>256486.39900344686</v>
      </c>
      <c r="AF46" s="831">
        <f t="shared" si="75"/>
        <v>259051.2629934813</v>
      </c>
      <c r="AG46" s="831">
        <f t="shared" si="75"/>
        <v>261641.775623416</v>
      </c>
      <c r="AH46" s="831">
        <f t="shared" si="75"/>
        <v>264258.19337965018</v>
      </c>
      <c r="AI46" s="831">
        <f t="shared" si="75"/>
        <v>266900.77531344676</v>
      </c>
      <c r="AJ46" s="831">
        <f t="shared" si="75"/>
        <v>269569.78306658124</v>
      </c>
      <c r="AK46" s="831">
        <f t="shared" si="75"/>
        <v>272265.48089724698</v>
      </c>
      <c r="AL46" s="831">
        <f t="shared" si="75"/>
        <v>274988.13570621947</v>
      </c>
      <c r="AM46" s="831">
        <f t="shared" si="75"/>
        <v>277738.01706328173</v>
      </c>
      <c r="AN46" s="831">
        <f t="shared" si="75"/>
        <v>280515.39723391453</v>
      </c>
      <c r="AO46" s="831">
        <f t="shared" si="75"/>
        <v>283320.55120625364</v>
      </c>
      <c r="AP46" s="831">
        <f t="shared" ref="AP46" si="76">SUM(AP44:AP45)</f>
        <v>286153.75671831617</v>
      </c>
    </row>
    <row r="47" spans="2:42" s="650" customFormat="1" x14ac:dyDescent="0.25">
      <c r="B47" s="790"/>
      <c r="C47" s="780"/>
      <c r="E47" s="773"/>
      <c r="F47" s="767"/>
      <c r="G47" s="831"/>
      <c r="H47" s="831"/>
      <c r="I47" s="831"/>
      <c r="J47" s="831"/>
      <c r="K47" s="831"/>
      <c r="L47" s="831"/>
      <c r="M47" s="831"/>
      <c r="N47" s="831"/>
      <c r="O47" s="831"/>
      <c r="P47" s="831"/>
      <c r="Q47" s="831"/>
      <c r="R47" s="831"/>
      <c r="S47" s="831"/>
      <c r="T47" s="831"/>
      <c r="U47" s="831"/>
      <c r="V47" s="831"/>
      <c r="W47" s="831"/>
      <c r="X47" s="831"/>
      <c r="Y47" s="831"/>
      <c r="Z47" s="831"/>
      <c r="AA47" s="831"/>
      <c r="AB47" s="831"/>
      <c r="AC47" s="831"/>
      <c r="AD47" s="831"/>
      <c r="AE47" s="831"/>
      <c r="AF47" s="831"/>
      <c r="AG47" s="831"/>
      <c r="AH47" s="831"/>
      <c r="AI47" s="831"/>
      <c r="AJ47" s="831"/>
      <c r="AK47" s="831"/>
      <c r="AL47" s="831"/>
      <c r="AM47" s="831"/>
      <c r="AN47" s="831"/>
      <c r="AO47" s="831"/>
      <c r="AP47" s="831"/>
    </row>
    <row r="48" spans="2:42" x14ac:dyDescent="0.25">
      <c r="B48" s="808" t="s">
        <v>798</v>
      </c>
      <c r="C48" s="800"/>
      <c r="D48" s="800"/>
      <c r="E48" s="800"/>
      <c r="F48" s="837"/>
      <c r="G48" s="837"/>
      <c r="H48" s="838"/>
      <c r="I48" s="838"/>
      <c r="J48" s="838"/>
      <c r="K48" s="838"/>
      <c r="L48" s="838"/>
      <c r="M48" s="838"/>
      <c r="N48" s="838"/>
      <c r="O48" s="838"/>
      <c r="P48" s="838"/>
      <c r="Q48" s="838"/>
      <c r="R48" s="838"/>
      <c r="S48" s="838"/>
      <c r="T48" s="838"/>
      <c r="U48" s="838"/>
      <c r="V48" s="838"/>
      <c r="W48" s="838"/>
      <c r="X48" s="838"/>
      <c r="Y48" s="838"/>
      <c r="Z48" s="838"/>
      <c r="AA48" s="838"/>
      <c r="AB48" s="838"/>
      <c r="AC48" s="838"/>
      <c r="AD48" s="838"/>
      <c r="AE48" s="838"/>
      <c r="AF48" s="838"/>
      <c r="AG48" s="838"/>
      <c r="AH48" s="838"/>
      <c r="AI48" s="838"/>
      <c r="AJ48" s="838"/>
      <c r="AK48" s="838"/>
      <c r="AL48" s="838"/>
      <c r="AM48" s="838"/>
      <c r="AN48" s="800"/>
      <c r="AO48" s="800"/>
      <c r="AP48" s="800"/>
    </row>
    <row r="49" spans="2:42" s="650" customFormat="1" x14ac:dyDescent="0.25">
      <c r="B49" s="790"/>
      <c r="C49" s="780"/>
      <c r="D49" s="773" t="s">
        <v>763</v>
      </c>
      <c r="E49" s="1007">
        <f>Assumptions!$D$71</f>
        <v>365</v>
      </c>
      <c r="F49" s="767"/>
      <c r="G49" s="831"/>
      <c r="H49" s="831"/>
      <c r="I49" s="831"/>
      <c r="J49" s="831"/>
      <c r="K49" s="831"/>
      <c r="L49" s="831"/>
      <c r="M49" s="831"/>
      <c r="N49" s="831"/>
      <c r="O49" s="831"/>
      <c r="P49" s="831"/>
      <c r="Q49" s="831"/>
      <c r="R49" s="831"/>
      <c r="S49" s="831"/>
      <c r="T49" s="831"/>
      <c r="U49" s="831"/>
      <c r="V49" s="831"/>
      <c r="W49" s="831"/>
      <c r="X49" s="831"/>
      <c r="Y49" s="831"/>
      <c r="Z49" s="831"/>
      <c r="AA49" s="831"/>
      <c r="AB49" s="831"/>
      <c r="AC49" s="831"/>
      <c r="AD49" s="831"/>
      <c r="AE49" s="831"/>
      <c r="AF49" s="831"/>
      <c r="AG49" s="831"/>
      <c r="AH49" s="831"/>
      <c r="AI49" s="831"/>
      <c r="AJ49" s="831"/>
      <c r="AK49" s="831"/>
      <c r="AL49" s="831"/>
      <c r="AM49" s="831"/>
      <c r="AN49" s="831"/>
      <c r="AO49" s="831"/>
      <c r="AP49" s="831"/>
    </row>
    <row r="50" spans="2:42" s="650" customFormat="1" x14ac:dyDescent="0.25">
      <c r="B50" s="790"/>
      <c r="C50" s="780"/>
      <c r="D50" s="773" t="s">
        <v>723</v>
      </c>
      <c r="E50" s="1009">
        <f>Assumptions!$D$72</f>
        <v>0</v>
      </c>
      <c r="F50" s="767"/>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831"/>
      <c r="AL50" s="831"/>
      <c r="AM50" s="831"/>
      <c r="AN50" s="831"/>
      <c r="AO50" s="831"/>
      <c r="AP50" s="831"/>
    </row>
    <row r="51" spans="2:42" s="650" customFormat="1" x14ac:dyDescent="0.25">
      <c r="B51" s="779" t="s">
        <v>861</v>
      </c>
      <c r="C51" s="780"/>
      <c r="F51" s="767"/>
      <c r="G51" s="831"/>
      <c r="H51" s="831"/>
      <c r="I51" s="831"/>
      <c r="J51" s="831"/>
      <c r="K51" s="831"/>
      <c r="L51" s="831"/>
      <c r="M51" s="831"/>
      <c r="N51" s="831"/>
      <c r="O51" s="831"/>
      <c r="P51" s="831"/>
      <c r="Q51" s="831"/>
      <c r="R51" s="831"/>
      <c r="S51" s="831"/>
      <c r="T51" s="831"/>
      <c r="U51" s="831"/>
      <c r="V51" s="831"/>
      <c r="W51" s="831"/>
      <c r="X51" s="831"/>
      <c r="Y51" s="831"/>
      <c r="Z51" s="831"/>
      <c r="AA51" s="831"/>
      <c r="AB51" s="831"/>
      <c r="AC51" s="831"/>
      <c r="AD51" s="831"/>
      <c r="AE51" s="831"/>
      <c r="AF51" s="831"/>
      <c r="AG51" s="831"/>
      <c r="AH51" s="831"/>
      <c r="AI51" s="831"/>
      <c r="AJ51" s="831"/>
      <c r="AK51" s="831"/>
      <c r="AL51" s="831"/>
      <c r="AM51" s="831"/>
      <c r="AN51" s="831"/>
      <c r="AO51" s="831"/>
      <c r="AP51" s="831"/>
    </row>
    <row r="52" spans="2:42" s="650" customFormat="1" x14ac:dyDescent="0.25">
      <c r="B52" s="781" t="s">
        <v>860</v>
      </c>
      <c r="C52" s="780">
        <f>SUM(G52:AO52)</f>
        <v>5782223</v>
      </c>
      <c r="D52" s="785" t="s">
        <v>965</v>
      </c>
      <c r="E52" s="651">
        <v>1</v>
      </c>
      <c r="F52" s="767"/>
      <c r="G52" s="882">
        <f t="shared" ref="G52:AP52" si="77">$E$53*(1+$E$50)^(G4-2018)*G5</f>
        <v>0</v>
      </c>
      <c r="H52" s="882">
        <f t="shared" si="77"/>
        <v>0</v>
      </c>
      <c r="I52" s="882">
        <f t="shared" si="77"/>
        <v>0</v>
      </c>
      <c r="J52" s="882">
        <f t="shared" si="77"/>
        <v>0</v>
      </c>
      <c r="K52" s="882">
        <f t="shared" si="77"/>
        <v>0</v>
      </c>
      <c r="L52" s="882">
        <f t="shared" si="77"/>
        <v>0</v>
      </c>
      <c r="M52" s="882">
        <f t="shared" si="77"/>
        <v>199387</v>
      </c>
      <c r="N52" s="882">
        <f t="shared" si="77"/>
        <v>199387</v>
      </c>
      <c r="O52" s="882">
        <f t="shared" si="77"/>
        <v>199387</v>
      </c>
      <c r="P52" s="882">
        <f t="shared" si="77"/>
        <v>199387</v>
      </c>
      <c r="Q52" s="882">
        <f t="shared" si="77"/>
        <v>199387</v>
      </c>
      <c r="R52" s="882">
        <f t="shared" si="77"/>
        <v>199387</v>
      </c>
      <c r="S52" s="882">
        <f t="shared" si="77"/>
        <v>199387</v>
      </c>
      <c r="T52" s="882">
        <f t="shared" si="77"/>
        <v>199387</v>
      </c>
      <c r="U52" s="882">
        <f t="shared" si="77"/>
        <v>199387</v>
      </c>
      <c r="V52" s="882">
        <f t="shared" si="77"/>
        <v>199387</v>
      </c>
      <c r="W52" s="882">
        <f t="shared" si="77"/>
        <v>199387</v>
      </c>
      <c r="X52" s="882">
        <f t="shared" si="77"/>
        <v>199387</v>
      </c>
      <c r="Y52" s="882">
        <f t="shared" si="77"/>
        <v>199387</v>
      </c>
      <c r="Z52" s="882">
        <f t="shared" si="77"/>
        <v>199387</v>
      </c>
      <c r="AA52" s="882">
        <f t="shared" si="77"/>
        <v>199387</v>
      </c>
      <c r="AB52" s="882">
        <f t="shared" si="77"/>
        <v>199387</v>
      </c>
      <c r="AC52" s="882">
        <f t="shared" si="77"/>
        <v>199387</v>
      </c>
      <c r="AD52" s="882">
        <f t="shared" si="77"/>
        <v>199387</v>
      </c>
      <c r="AE52" s="882">
        <f t="shared" si="77"/>
        <v>199387</v>
      </c>
      <c r="AF52" s="882">
        <f t="shared" si="77"/>
        <v>199387</v>
      </c>
      <c r="AG52" s="882">
        <f t="shared" si="77"/>
        <v>199387</v>
      </c>
      <c r="AH52" s="882">
        <f t="shared" si="77"/>
        <v>199387</v>
      </c>
      <c r="AI52" s="882">
        <f t="shared" si="77"/>
        <v>199387</v>
      </c>
      <c r="AJ52" s="882">
        <f t="shared" si="77"/>
        <v>199387</v>
      </c>
      <c r="AK52" s="882">
        <f t="shared" si="77"/>
        <v>199387</v>
      </c>
      <c r="AL52" s="882">
        <f t="shared" si="77"/>
        <v>199387</v>
      </c>
      <c r="AM52" s="882">
        <f t="shared" si="77"/>
        <v>199387</v>
      </c>
      <c r="AN52" s="882">
        <f t="shared" si="77"/>
        <v>199387</v>
      </c>
      <c r="AO52" s="882">
        <f t="shared" si="77"/>
        <v>199387</v>
      </c>
      <c r="AP52" s="882">
        <f t="shared" si="77"/>
        <v>199387</v>
      </c>
    </row>
    <row r="53" spans="2:42" s="650" customFormat="1" x14ac:dyDescent="0.25">
      <c r="B53" s="781" t="s">
        <v>945</v>
      </c>
      <c r="C53" s="780">
        <f>SUM(G53:AO53)</f>
        <v>15841.706849315064</v>
      </c>
      <c r="D53" s="773" t="s">
        <v>799</v>
      </c>
      <c r="E53" s="1007">
        <f>Assumptions!$D$73</f>
        <v>199387</v>
      </c>
      <c r="F53" s="767"/>
      <c r="G53" s="882">
        <f>G52/$E$49*$E$52</f>
        <v>0</v>
      </c>
      <c r="H53" s="882">
        <f t="shared" ref="H53:AO53" si="78">H52/$E$49*$E$52</f>
        <v>0</v>
      </c>
      <c r="I53" s="882">
        <f t="shared" si="78"/>
        <v>0</v>
      </c>
      <c r="J53" s="882">
        <f t="shared" si="78"/>
        <v>0</v>
      </c>
      <c r="K53" s="882">
        <f t="shared" si="78"/>
        <v>0</v>
      </c>
      <c r="L53" s="882">
        <f t="shared" si="78"/>
        <v>0</v>
      </c>
      <c r="M53" s="882">
        <f t="shared" si="78"/>
        <v>546.26575342465753</v>
      </c>
      <c r="N53" s="882">
        <f t="shared" si="78"/>
        <v>546.26575342465753</v>
      </c>
      <c r="O53" s="882">
        <f t="shared" si="78"/>
        <v>546.26575342465753</v>
      </c>
      <c r="P53" s="882">
        <f t="shared" si="78"/>
        <v>546.26575342465753</v>
      </c>
      <c r="Q53" s="882">
        <f t="shared" si="78"/>
        <v>546.26575342465753</v>
      </c>
      <c r="R53" s="882">
        <f t="shared" si="78"/>
        <v>546.26575342465753</v>
      </c>
      <c r="S53" s="882">
        <f t="shared" si="78"/>
        <v>546.26575342465753</v>
      </c>
      <c r="T53" s="882">
        <f t="shared" si="78"/>
        <v>546.26575342465753</v>
      </c>
      <c r="U53" s="882">
        <f t="shared" si="78"/>
        <v>546.26575342465753</v>
      </c>
      <c r="V53" s="882">
        <f t="shared" si="78"/>
        <v>546.26575342465753</v>
      </c>
      <c r="W53" s="882">
        <f t="shared" si="78"/>
        <v>546.26575342465753</v>
      </c>
      <c r="X53" s="882">
        <f t="shared" si="78"/>
        <v>546.26575342465753</v>
      </c>
      <c r="Y53" s="882">
        <f t="shared" si="78"/>
        <v>546.26575342465753</v>
      </c>
      <c r="Z53" s="882">
        <f t="shared" si="78"/>
        <v>546.26575342465753</v>
      </c>
      <c r="AA53" s="882">
        <f t="shared" si="78"/>
        <v>546.26575342465753</v>
      </c>
      <c r="AB53" s="882">
        <f t="shared" si="78"/>
        <v>546.26575342465753</v>
      </c>
      <c r="AC53" s="882">
        <f t="shared" si="78"/>
        <v>546.26575342465753</v>
      </c>
      <c r="AD53" s="882">
        <f t="shared" si="78"/>
        <v>546.26575342465753</v>
      </c>
      <c r="AE53" s="882">
        <f t="shared" si="78"/>
        <v>546.26575342465753</v>
      </c>
      <c r="AF53" s="882">
        <f t="shared" si="78"/>
        <v>546.26575342465753</v>
      </c>
      <c r="AG53" s="882">
        <f t="shared" si="78"/>
        <v>546.26575342465753</v>
      </c>
      <c r="AH53" s="882">
        <f t="shared" si="78"/>
        <v>546.26575342465753</v>
      </c>
      <c r="AI53" s="882">
        <f t="shared" si="78"/>
        <v>546.26575342465753</v>
      </c>
      <c r="AJ53" s="882">
        <f t="shared" si="78"/>
        <v>546.26575342465753</v>
      </c>
      <c r="AK53" s="882">
        <f t="shared" si="78"/>
        <v>546.26575342465753</v>
      </c>
      <c r="AL53" s="882">
        <f t="shared" si="78"/>
        <v>546.26575342465753</v>
      </c>
      <c r="AM53" s="882">
        <f t="shared" si="78"/>
        <v>546.26575342465753</v>
      </c>
      <c r="AN53" s="882">
        <f t="shared" si="78"/>
        <v>546.26575342465753</v>
      </c>
      <c r="AO53" s="882">
        <f t="shared" si="78"/>
        <v>546.26575342465753</v>
      </c>
      <c r="AP53" s="882">
        <f t="shared" ref="AP53" si="79">AP52/$E$49*$E$52</f>
        <v>546.26575342465753</v>
      </c>
    </row>
    <row r="54" spans="2:42" s="650" customFormat="1" x14ac:dyDescent="0.25">
      <c r="B54" s="779"/>
      <c r="C54" s="780"/>
      <c r="F54" s="767"/>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882"/>
      <c r="AM54" s="882"/>
      <c r="AN54" s="882"/>
      <c r="AO54" s="882"/>
      <c r="AP54" s="882"/>
    </row>
    <row r="55" spans="2:42" s="650" customFormat="1" x14ac:dyDescent="0.25">
      <c r="B55" s="779" t="s">
        <v>862</v>
      </c>
      <c r="C55" s="780"/>
      <c r="F55" s="767"/>
      <c r="G55" s="882"/>
      <c r="H55" s="882"/>
      <c r="I55" s="882"/>
      <c r="J55" s="882"/>
      <c r="K55" s="882"/>
      <c r="L55" s="882"/>
      <c r="M55" s="882"/>
      <c r="N55" s="882"/>
      <c r="O55" s="882"/>
      <c r="P55" s="882"/>
      <c r="Q55" s="882"/>
      <c r="R55" s="882"/>
      <c r="S55" s="882"/>
      <c r="T55" s="882"/>
      <c r="U55" s="882"/>
      <c r="V55" s="882"/>
      <c r="W55" s="882"/>
      <c r="X55" s="882"/>
      <c r="Y55" s="882"/>
      <c r="Z55" s="882"/>
      <c r="AA55" s="882"/>
      <c r="AB55" s="882"/>
      <c r="AC55" s="882"/>
      <c r="AD55" s="882"/>
      <c r="AE55" s="882"/>
      <c r="AF55" s="882"/>
      <c r="AG55" s="882"/>
      <c r="AH55" s="882"/>
      <c r="AI55" s="882"/>
      <c r="AJ55" s="882"/>
      <c r="AK55" s="882"/>
      <c r="AL55" s="882"/>
      <c r="AM55" s="882"/>
      <c r="AN55" s="882"/>
      <c r="AO55" s="882"/>
      <c r="AP55" s="882"/>
    </row>
    <row r="56" spans="2:42" s="650" customFormat="1" x14ac:dyDescent="0.25">
      <c r="B56" s="781" t="s">
        <v>860</v>
      </c>
      <c r="C56" s="780">
        <f>SUM(G56:AO56)</f>
        <v>856399</v>
      </c>
      <c r="D56" s="785" t="s">
        <v>965</v>
      </c>
      <c r="E56" s="651">
        <v>1</v>
      </c>
      <c r="F56" s="767"/>
      <c r="G56" s="882">
        <f t="shared" ref="G56:AP56" si="80">$E$57*(1+$E$50)^(G4-2018)*G5</f>
        <v>0</v>
      </c>
      <c r="H56" s="882">
        <f t="shared" si="80"/>
        <v>0</v>
      </c>
      <c r="I56" s="882">
        <f t="shared" si="80"/>
        <v>0</v>
      </c>
      <c r="J56" s="882">
        <f t="shared" si="80"/>
        <v>0</v>
      </c>
      <c r="K56" s="882">
        <f t="shared" si="80"/>
        <v>0</v>
      </c>
      <c r="L56" s="882">
        <f t="shared" si="80"/>
        <v>0</v>
      </c>
      <c r="M56" s="882">
        <f t="shared" si="80"/>
        <v>29531</v>
      </c>
      <c r="N56" s="882">
        <f t="shared" si="80"/>
        <v>29531</v>
      </c>
      <c r="O56" s="882">
        <f t="shared" si="80"/>
        <v>29531</v>
      </c>
      <c r="P56" s="882">
        <f t="shared" si="80"/>
        <v>29531</v>
      </c>
      <c r="Q56" s="882">
        <f t="shared" si="80"/>
        <v>29531</v>
      </c>
      <c r="R56" s="882">
        <f t="shared" si="80"/>
        <v>29531</v>
      </c>
      <c r="S56" s="882">
        <f t="shared" si="80"/>
        <v>29531</v>
      </c>
      <c r="T56" s="882">
        <f t="shared" si="80"/>
        <v>29531</v>
      </c>
      <c r="U56" s="882">
        <f t="shared" si="80"/>
        <v>29531</v>
      </c>
      <c r="V56" s="882">
        <f t="shared" si="80"/>
        <v>29531</v>
      </c>
      <c r="W56" s="882">
        <f t="shared" si="80"/>
        <v>29531</v>
      </c>
      <c r="X56" s="882">
        <f t="shared" si="80"/>
        <v>29531</v>
      </c>
      <c r="Y56" s="882">
        <f t="shared" si="80"/>
        <v>29531</v>
      </c>
      <c r="Z56" s="882">
        <f t="shared" si="80"/>
        <v>29531</v>
      </c>
      <c r="AA56" s="882">
        <f t="shared" si="80"/>
        <v>29531</v>
      </c>
      <c r="AB56" s="882">
        <f t="shared" si="80"/>
        <v>29531</v>
      </c>
      <c r="AC56" s="882">
        <f t="shared" si="80"/>
        <v>29531</v>
      </c>
      <c r="AD56" s="882">
        <f t="shared" si="80"/>
        <v>29531</v>
      </c>
      <c r="AE56" s="882">
        <f t="shared" si="80"/>
        <v>29531</v>
      </c>
      <c r="AF56" s="882">
        <f t="shared" si="80"/>
        <v>29531</v>
      </c>
      <c r="AG56" s="882">
        <f t="shared" si="80"/>
        <v>29531</v>
      </c>
      <c r="AH56" s="882">
        <f t="shared" si="80"/>
        <v>29531</v>
      </c>
      <c r="AI56" s="882">
        <f t="shared" si="80"/>
        <v>29531</v>
      </c>
      <c r="AJ56" s="882">
        <f t="shared" si="80"/>
        <v>29531</v>
      </c>
      <c r="AK56" s="882">
        <f t="shared" si="80"/>
        <v>29531</v>
      </c>
      <c r="AL56" s="882">
        <f t="shared" si="80"/>
        <v>29531</v>
      </c>
      <c r="AM56" s="882">
        <f t="shared" si="80"/>
        <v>29531</v>
      </c>
      <c r="AN56" s="882">
        <f t="shared" si="80"/>
        <v>29531</v>
      </c>
      <c r="AO56" s="882">
        <f t="shared" si="80"/>
        <v>29531</v>
      </c>
      <c r="AP56" s="882">
        <f t="shared" si="80"/>
        <v>29531</v>
      </c>
    </row>
    <row r="57" spans="2:42" s="650" customFormat="1" x14ac:dyDescent="0.25">
      <c r="B57" s="781" t="s">
        <v>946</v>
      </c>
      <c r="C57" s="780">
        <f>SUM(G57:AO57)</f>
        <v>2346.2986301369865</v>
      </c>
      <c r="D57" s="773" t="s">
        <v>799</v>
      </c>
      <c r="E57" s="1007">
        <f>Assumptions!$D$74</f>
        <v>29531</v>
      </c>
      <c r="F57" s="767"/>
      <c r="G57" s="882">
        <f>G56/$E$49*$E$56</f>
        <v>0</v>
      </c>
      <c r="H57" s="882">
        <f t="shared" ref="H57:AO57" si="81">H56/$E$49*$E$56</f>
        <v>0</v>
      </c>
      <c r="I57" s="882">
        <f t="shared" si="81"/>
        <v>0</v>
      </c>
      <c r="J57" s="882">
        <f t="shared" si="81"/>
        <v>0</v>
      </c>
      <c r="K57" s="882">
        <f t="shared" si="81"/>
        <v>0</v>
      </c>
      <c r="L57" s="882">
        <f t="shared" si="81"/>
        <v>0</v>
      </c>
      <c r="M57" s="882">
        <f t="shared" si="81"/>
        <v>80.906849315068499</v>
      </c>
      <c r="N57" s="882">
        <f t="shared" si="81"/>
        <v>80.906849315068499</v>
      </c>
      <c r="O57" s="882">
        <f t="shared" si="81"/>
        <v>80.906849315068499</v>
      </c>
      <c r="P57" s="882">
        <f t="shared" si="81"/>
        <v>80.906849315068499</v>
      </c>
      <c r="Q57" s="882">
        <f t="shared" si="81"/>
        <v>80.906849315068499</v>
      </c>
      <c r="R57" s="882">
        <f t="shared" si="81"/>
        <v>80.906849315068499</v>
      </c>
      <c r="S57" s="882">
        <f t="shared" si="81"/>
        <v>80.906849315068499</v>
      </c>
      <c r="T57" s="882">
        <f t="shared" si="81"/>
        <v>80.906849315068499</v>
      </c>
      <c r="U57" s="882">
        <f t="shared" si="81"/>
        <v>80.906849315068499</v>
      </c>
      <c r="V57" s="882">
        <f t="shared" si="81"/>
        <v>80.906849315068499</v>
      </c>
      <c r="W57" s="882">
        <f t="shared" si="81"/>
        <v>80.906849315068499</v>
      </c>
      <c r="X57" s="882">
        <f t="shared" si="81"/>
        <v>80.906849315068499</v>
      </c>
      <c r="Y57" s="882">
        <f t="shared" si="81"/>
        <v>80.906849315068499</v>
      </c>
      <c r="Z57" s="882">
        <f t="shared" si="81"/>
        <v>80.906849315068499</v>
      </c>
      <c r="AA57" s="882">
        <f t="shared" si="81"/>
        <v>80.906849315068499</v>
      </c>
      <c r="AB57" s="882">
        <f t="shared" si="81"/>
        <v>80.906849315068499</v>
      </c>
      <c r="AC57" s="882">
        <f t="shared" si="81"/>
        <v>80.906849315068499</v>
      </c>
      <c r="AD57" s="882">
        <f t="shared" si="81"/>
        <v>80.906849315068499</v>
      </c>
      <c r="AE57" s="882">
        <f t="shared" si="81"/>
        <v>80.906849315068499</v>
      </c>
      <c r="AF57" s="882">
        <f t="shared" si="81"/>
        <v>80.906849315068499</v>
      </c>
      <c r="AG57" s="882">
        <f t="shared" si="81"/>
        <v>80.906849315068499</v>
      </c>
      <c r="AH57" s="882">
        <f t="shared" si="81"/>
        <v>80.906849315068499</v>
      </c>
      <c r="AI57" s="882">
        <f t="shared" si="81"/>
        <v>80.906849315068499</v>
      </c>
      <c r="AJ57" s="882">
        <f t="shared" si="81"/>
        <v>80.906849315068499</v>
      </c>
      <c r="AK57" s="882">
        <f t="shared" si="81"/>
        <v>80.906849315068499</v>
      </c>
      <c r="AL57" s="882">
        <f t="shared" si="81"/>
        <v>80.906849315068499</v>
      </c>
      <c r="AM57" s="882">
        <f t="shared" si="81"/>
        <v>80.906849315068499</v>
      </c>
      <c r="AN57" s="882">
        <f t="shared" si="81"/>
        <v>80.906849315068499</v>
      </c>
      <c r="AO57" s="882">
        <f t="shared" si="81"/>
        <v>80.906849315068499</v>
      </c>
      <c r="AP57" s="882">
        <f t="shared" ref="AP57" si="82">AP56/$E$49*$E$56</f>
        <v>80.906849315068499</v>
      </c>
    </row>
    <row r="58" spans="2:42" s="650" customFormat="1" x14ac:dyDescent="0.25">
      <c r="B58" s="781" t="s">
        <v>947</v>
      </c>
      <c r="C58" s="780">
        <f>SUM(G58:AO58)</f>
        <v>2346.2986301369865</v>
      </c>
      <c r="D58" s="785" t="s">
        <v>966</v>
      </c>
      <c r="E58" s="651">
        <v>1</v>
      </c>
      <c r="F58" s="767"/>
      <c r="G58" s="882">
        <f>G56/$E$49*$E$58</f>
        <v>0</v>
      </c>
      <c r="H58" s="882">
        <f t="shared" ref="H58:AO58" si="83">H56/$E$49*$E$58</f>
        <v>0</v>
      </c>
      <c r="I58" s="882">
        <f t="shared" si="83"/>
        <v>0</v>
      </c>
      <c r="J58" s="882">
        <f t="shared" si="83"/>
        <v>0</v>
      </c>
      <c r="K58" s="882">
        <f t="shared" si="83"/>
        <v>0</v>
      </c>
      <c r="L58" s="882">
        <f t="shared" si="83"/>
        <v>0</v>
      </c>
      <c r="M58" s="882">
        <f t="shared" si="83"/>
        <v>80.906849315068499</v>
      </c>
      <c r="N58" s="882">
        <f t="shared" si="83"/>
        <v>80.906849315068499</v>
      </c>
      <c r="O58" s="882">
        <f t="shared" si="83"/>
        <v>80.906849315068499</v>
      </c>
      <c r="P58" s="882">
        <f t="shared" si="83"/>
        <v>80.906849315068499</v>
      </c>
      <c r="Q58" s="882">
        <f t="shared" si="83"/>
        <v>80.906849315068499</v>
      </c>
      <c r="R58" s="882">
        <f t="shared" si="83"/>
        <v>80.906849315068499</v>
      </c>
      <c r="S58" s="882">
        <f t="shared" si="83"/>
        <v>80.906849315068499</v>
      </c>
      <c r="T58" s="882">
        <f t="shared" si="83"/>
        <v>80.906849315068499</v>
      </c>
      <c r="U58" s="882">
        <f t="shared" si="83"/>
        <v>80.906849315068499</v>
      </c>
      <c r="V58" s="882">
        <f t="shared" si="83"/>
        <v>80.906849315068499</v>
      </c>
      <c r="W58" s="882">
        <f t="shared" si="83"/>
        <v>80.906849315068499</v>
      </c>
      <c r="X58" s="882">
        <f t="shared" si="83"/>
        <v>80.906849315068499</v>
      </c>
      <c r="Y58" s="882">
        <f t="shared" si="83"/>
        <v>80.906849315068499</v>
      </c>
      <c r="Z58" s="882">
        <f t="shared" si="83"/>
        <v>80.906849315068499</v>
      </c>
      <c r="AA58" s="882">
        <f t="shared" si="83"/>
        <v>80.906849315068499</v>
      </c>
      <c r="AB58" s="882">
        <f t="shared" si="83"/>
        <v>80.906849315068499</v>
      </c>
      <c r="AC58" s="882">
        <f t="shared" si="83"/>
        <v>80.906849315068499</v>
      </c>
      <c r="AD58" s="882">
        <f t="shared" si="83"/>
        <v>80.906849315068499</v>
      </c>
      <c r="AE58" s="882">
        <f t="shared" si="83"/>
        <v>80.906849315068499</v>
      </c>
      <c r="AF58" s="882">
        <f t="shared" si="83"/>
        <v>80.906849315068499</v>
      </c>
      <c r="AG58" s="882">
        <f t="shared" si="83"/>
        <v>80.906849315068499</v>
      </c>
      <c r="AH58" s="882">
        <f t="shared" si="83"/>
        <v>80.906849315068499</v>
      </c>
      <c r="AI58" s="882">
        <f t="shared" si="83"/>
        <v>80.906849315068499</v>
      </c>
      <c r="AJ58" s="882">
        <f t="shared" si="83"/>
        <v>80.906849315068499</v>
      </c>
      <c r="AK58" s="882">
        <f t="shared" si="83"/>
        <v>80.906849315068499</v>
      </c>
      <c r="AL58" s="882">
        <f t="shared" si="83"/>
        <v>80.906849315068499</v>
      </c>
      <c r="AM58" s="882">
        <f t="shared" si="83"/>
        <v>80.906849315068499</v>
      </c>
      <c r="AN58" s="882">
        <f t="shared" si="83"/>
        <v>80.906849315068499</v>
      </c>
      <c r="AO58" s="882">
        <f t="shared" si="83"/>
        <v>80.906849315068499</v>
      </c>
      <c r="AP58" s="882">
        <f t="shared" ref="AP58" si="84">AP56/$E$49*$E$58</f>
        <v>80.906849315068499</v>
      </c>
    </row>
    <row r="59" spans="2:42" s="650" customFormat="1" x14ac:dyDescent="0.25">
      <c r="C59" s="780"/>
      <c r="E59" s="773"/>
      <c r="F59" s="767"/>
      <c r="G59" s="831"/>
      <c r="H59" s="831"/>
      <c r="I59" s="831"/>
      <c r="J59" s="831"/>
      <c r="K59" s="831"/>
      <c r="L59" s="831"/>
      <c r="M59" s="831"/>
      <c r="N59" s="831"/>
      <c r="O59" s="831"/>
      <c r="P59" s="831"/>
      <c r="Q59" s="831"/>
      <c r="R59" s="831"/>
      <c r="S59" s="831"/>
      <c r="T59" s="831"/>
      <c r="U59" s="831"/>
      <c r="V59" s="831"/>
      <c r="W59" s="831"/>
      <c r="X59" s="831"/>
      <c r="Y59" s="831"/>
      <c r="Z59" s="831"/>
      <c r="AA59" s="831"/>
      <c r="AB59" s="831"/>
      <c r="AC59" s="831"/>
      <c r="AD59" s="831"/>
      <c r="AE59" s="831"/>
      <c r="AF59" s="831"/>
      <c r="AG59" s="831"/>
      <c r="AH59" s="831"/>
      <c r="AI59" s="831"/>
      <c r="AJ59" s="831"/>
      <c r="AK59" s="831"/>
      <c r="AL59" s="831"/>
      <c r="AM59" s="831"/>
      <c r="AN59" s="831"/>
      <c r="AO59" s="831"/>
      <c r="AP59" s="831"/>
    </row>
    <row r="60" spans="2:42" s="650" customFormat="1" x14ac:dyDescent="0.25">
      <c r="B60" s="769"/>
      <c r="C60" s="753"/>
      <c r="D60" s="753"/>
      <c r="E60" s="753"/>
      <c r="H60" s="754"/>
      <c r="I60" s="754"/>
      <c r="J60" s="754"/>
      <c r="K60" s="754"/>
      <c r="L60" s="754"/>
      <c r="M60" s="754"/>
      <c r="N60" s="754"/>
      <c r="O60" s="754"/>
      <c r="P60" s="754"/>
      <c r="Q60" s="754"/>
      <c r="R60" s="754"/>
      <c r="S60" s="754"/>
      <c r="T60" s="754"/>
      <c r="U60" s="754"/>
      <c r="V60" s="754"/>
      <c r="W60" s="754"/>
      <c r="X60" s="754"/>
      <c r="Y60" s="754"/>
      <c r="Z60" s="754"/>
      <c r="AA60" s="754"/>
      <c r="AB60" s="754"/>
      <c r="AC60" s="754"/>
      <c r="AD60" s="754"/>
      <c r="AE60" s="754"/>
      <c r="AF60" s="754"/>
      <c r="AG60" s="754"/>
      <c r="AH60" s="754"/>
      <c r="AI60" s="754"/>
      <c r="AJ60" s="754"/>
      <c r="AK60" s="754"/>
      <c r="AL60" s="754"/>
      <c r="AM60" s="754"/>
    </row>
    <row r="61" spans="2:42" x14ac:dyDescent="0.25">
      <c r="B61" s="748"/>
      <c r="C61" s="653"/>
      <c r="D61" s="653"/>
      <c r="E61" s="653"/>
      <c r="H61" s="675"/>
      <c r="I61" s="675"/>
      <c r="J61" s="675"/>
      <c r="K61" s="675"/>
      <c r="L61" s="675"/>
      <c r="M61" s="675"/>
      <c r="N61" s="675"/>
      <c r="O61" s="675"/>
      <c r="P61" s="675"/>
      <c r="Q61" s="675"/>
      <c r="R61" s="675"/>
      <c r="S61" s="675"/>
      <c r="T61" s="675"/>
      <c r="U61" s="675"/>
      <c r="V61" s="675"/>
      <c r="W61" s="675"/>
      <c r="X61" s="675"/>
      <c r="Y61" s="675"/>
      <c r="Z61" s="675"/>
      <c r="AA61" s="675"/>
      <c r="AB61" s="675"/>
      <c r="AC61" s="675"/>
      <c r="AD61" s="675"/>
      <c r="AE61" s="675"/>
      <c r="AF61" s="675"/>
      <c r="AG61" s="675"/>
      <c r="AH61" s="675"/>
      <c r="AI61" s="675"/>
      <c r="AJ61" s="675"/>
      <c r="AK61" s="675"/>
      <c r="AL61" s="675"/>
      <c r="AM61" s="675"/>
    </row>
  </sheetData>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N15"/>
  <sheetViews>
    <sheetView zoomScale="80" zoomScaleNormal="80" workbookViewId="0">
      <pane xSplit="3" ySplit="4" topLeftCell="D5" activePane="bottomRight" state="frozen"/>
      <selection pane="topRight" activeCell="D1" sqref="D1"/>
      <selection pane="bottomLeft" activeCell="A5" sqref="A5"/>
      <selection pane="bottomRight"/>
    </sheetView>
  </sheetViews>
  <sheetFormatPr defaultRowHeight="14.4" x14ac:dyDescent="0.25"/>
  <cols>
    <col min="1" max="1" width="2.33203125" customWidth="1"/>
    <col min="2" max="2" width="49.44140625" customWidth="1"/>
    <col min="3" max="3" width="10.109375" customWidth="1"/>
    <col min="4" max="4" width="12.109375" customWidth="1"/>
    <col min="5" max="39" width="12" customWidth="1"/>
    <col min="40" max="40" width="10" customWidth="1"/>
  </cols>
  <sheetData>
    <row r="1" spans="2:40" ht="10" customHeight="1" x14ac:dyDescent="0.25"/>
    <row r="2" spans="2:40" ht="17.7" x14ac:dyDescent="0.3">
      <c r="B2" s="765" t="s">
        <v>868</v>
      </c>
    </row>
    <row r="3" spans="2:40" x14ac:dyDescent="0.25">
      <c r="C3" s="645" t="s">
        <v>544</v>
      </c>
      <c r="D3" s="645"/>
    </row>
    <row r="4" spans="2:40" x14ac:dyDescent="0.25">
      <c r="C4" s="648">
        <f>Assumptions!$D$10</f>
        <v>2018</v>
      </c>
      <c r="D4" s="672" t="s">
        <v>148</v>
      </c>
      <c r="E4" s="672">
        <v>2019</v>
      </c>
      <c r="F4" s="672">
        <f>E4+1</f>
        <v>2020</v>
      </c>
      <c r="G4" s="672">
        <f t="shared" ref="G4:AK4" si="0">F4+1</f>
        <v>2021</v>
      </c>
      <c r="H4" s="672">
        <f t="shared" si="0"/>
        <v>2022</v>
      </c>
      <c r="I4" s="672">
        <f t="shared" si="0"/>
        <v>2023</v>
      </c>
      <c r="J4" s="672">
        <f t="shared" si="0"/>
        <v>2024</v>
      </c>
      <c r="K4" s="672">
        <f t="shared" si="0"/>
        <v>2025</v>
      </c>
      <c r="L4" s="672">
        <f t="shared" si="0"/>
        <v>2026</v>
      </c>
      <c r="M4" s="672">
        <f t="shared" si="0"/>
        <v>2027</v>
      </c>
      <c r="N4" s="672">
        <f t="shared" si="0"/>
        <v>2028</v>
      </c>
      <c r="O4" s="672">
        <f t="shared" si="0"/>
        <v>2029</v>
      </c>
      <c r="P4" s="672">
        <f t="shared" si="0"/>
        <v>2030</v>
      </c>
      <c r="Q4" s="672">
        <f t="shared" si="0"/>
        <v>2031</v>
      </c>
      <c r="R4" s="672">
        <f t="shared" si="0"/>
        <v>2032</v>
      </c>
      <c r="S4" s="672">
        <f t="shared" si="0"/>
        <v>2033</v>
      </c>
      <c r="T4" s="672">
        <f t="shared" si="0"/>
        <v>2034</v>
      </c>
      <c r="U4" s="672">
        <f t="shared" si="0"/>
        <v>2035</v>
      </c>
      <c r="V4" s="672">
        <f t="shared" si="0"/>
        <v>2036</v>
      </c>
      <c r="W4" s="672">
        <f t="shared" si="0"/>
        <v>2037</v>
      </c>
      <c r="X4" s="672">
        <f t="shared" si="0"/>
        <v>2038</v>
      </c>
      <c r="Y4" s="672">
        <f t="shared" si="0"/>
        <v>2039</v>
      </c>
      <c r="Z4" s="672">
        <f t="shared" si="0"/>
        <v>2040</v>
      </c>
      <c r="AA4" s="672">
        <f t="shared" si="0"/>
        <v>2041</v>
      </c>
      <c r="AB4" s="672">
        <f t="shared" si="0"/>
        <v>2042</v>
      </c>
      <c r="AC4" s="672">
        <f t="shared" si="0"/>
        <v>2043</v>
      </c>
      <c r="AD4" s="672">
        <f t="shared" si="0"/>
        <v>2044</v>
      </c>
      <c r="AE4" s="672">
        <f t="shared" si="0"/>
        <v>2045</v>
      </c>
      <c r="AF4" s="672">
        <f t="shared" si="0"/>
        <v>2046</v>
      </c>
      <c r="AG4" s="672">
        <f t="shared" si="0"/>
        <v>2047</v>
      </c>
      <c r="AH4" s="672">
        <f t="shared" si="0"/>
        <v>2048</v>
      </c>
      <c r="AI4" s="672">
        <f t="shared" si="0"/>
        <v>2049</v>
      </c>
      <c r="AJ4" s="672">
        <f t="shared" si="0"/>
        <v>2050</v>
      </c>
      <c r="AK4" s="672">
        <f t="shared" si="0"/>
        <v>2051</v>
      </c>
      <c r="AL4" s="672">
        <f t="shared" ref="AL4" si="1">AK4+1</f>
        <v>2052</v>
      </c>
      <c r="AM4" s="672">
        <f t="shared" ref="AM4:AN4" si="2">AL4+1</f>
        <v>2053</v>
      </c>
      <c r="AN4" s="672">
        <f t="shared" si="2"/>
        <v>2054</v>
      </c>
    </row>
    <row r="6" spans="2:40" x14ac:dyDescent="0.25">
      <c r="B6" t="s">
        <v>867</v>
      </c>
      <c r="C6" s="819">
        <f>Assumptions!$D$67</f>
        <v>591.66688561423859</v>
      </c>
    </row>
    <row r="7" spans="2:40" x14ac:dyDescent="0.25">
      <c r="B7" t="s">
        <v>869</v>
      </c>
      <c r="C7" s="819">
        <f>Assumptions!$D$69</f>
        <v>693.46410958904107</v>
      </c>
    </row>
    <row r="8" spans="2:40" x14ac:dyDescent="0.25">
      <c r="B8" t="s">
        <v>1057</v>
      </c>
      <c r="C8" s="931">
        <f>Assumptions!$D$64</f>
        <v>20</v>
      </c>
    </row>
    <row r="10" spans="2:40" x14ac:dyDescent="0.25">
      <c r="B10" t="s">
        <v>866</v>
      </c>
      <c r="C10" s="2" t="s">
        <v>753</v>
      </c>
      <c r="D10" s="814"/>
      <c r="E10" s="814">
        <f>'Demand Forecast'!G41</f>
        <v>0</v>
      </c>
      <c r="F10" s="814">
        <f>'Demand Forecast'!H41</f>
        <v>0</v>
      </c>
      <c r="G10" s="814">
        <f>'Demand Forecast'!I41</f>
        <v>0</v>
      </c>
      <c r="H10" s="814">
        <f>'Demand Forecast'!J41</f>
        <v>0</v>
      </c>
      <c r="I10" s="814">
        <f>'Demand Forecast'!K41</f>
        <v>0</v>
      </c>
      <c r="J10" s="814">
        <f>'Demand Forecast'!L41</f>
        <v>0</v>
      </c>
      <c r="K10" s="814">
        <f>'Demand Forecast'!M41</f>
        <v>857.70828168560797</v>
      </c>
      <c r="L10" s="814">
        <f>'Demand Forecast'!N41</f>
        <v>866.28536450246406</v>
      </c>
      <c r="M10" s="814">
        <f>'Demand Forecast'!O41</f>
        <v>874.94821814748889</v>
      </c>
      <c r="N10" s="814">
        <f>'Demand Forecast'!P41</f>
        <v>883.69770032896372</v>
      </c>
      <c r="O10" s="814">
        <f>'Demand Forecast'!Q41</f>
        <v>892.5346773322533</v>
      </c>
      <c r="P10" s="814">
        <f>'Demand Forecast'!R41</f>
        <v>901.46002410557594</v>
      </c>
      <c r="Q10" s="814">
        <f>'Demand Forecast'!S41</f>
        <v>910.47462434663157</v>
      </c>
      <c r="R10" s="814">
        <f>'Demand Forecast'!T41</f>
        <v>919.57937059009805</v>
      </c>
      <c r="S10" s="814">
        <f>'Demand Forecast'!U41</f>
        <v>928.77516429599871</v>
      </c>
      <c r="T10" s="814">
        <f>'Demand Forecast'!V41</f>
        <v>938.06291593895912</v>
      </c>
      <c r="U10" s="814">
        <f>'Demand Forecast'!W41</f>
        <v>947.44354509834864</v>
      </c>
      <c r="V10" s="814">
        <f>'Demand Forecast'!X41</f>
        <v>956.91798054933224</v>
      </c>
      <c r="W10" s="814">
        <f>'Demand Forecast'!Y41</f>
        <v>966.48716035482539</v>
      </c>
      <c r="X10" s="814">
        <f>'Demand Forecast'!Z41</f>
        <v>976.15203195837364</v>
      </c>
      <c r="Y10" s="814">
        <f>'Demand Forecast'!AA41</f>
        <v>985.91355227795736</v>
      </c>
      <c r="Z10" s="814">
        <f>'Demand Forecast'!AB41</f>
        <v>995.77268780073723</v>
      </c>
      <c r="AA10" s="814">
        <f>'Demand Forecast'!AC41</f>
        <v>1005.7304146787443</v>
      </c>
      <c r="AB10" s="814">
        <f>'Demand Forecast'!AD41</f>
        <v>1015.7877188255319</v>
      </c>
      <c r="AC10" s="814">
        <f>'Demand Forecast'!AE41</f>
        <v>1025.9455960137875</v>
      </c>
      <c r="AD10" s="814">
        <f>'Demand Forecast'!AF41</f>
        <v>1036.2050519739255</v>
      </c>
      <c r="AE10" s="814">
        <f>'Demand Forecast'!AG41</f>
        <v>1046.5671024936642</v>
      </c>
      <c r="AF10" s="814">
        <f>'Demand Forecast'!AH41</f>
        <v>1057.0327735186008</v>
      </c>
      <c r="AG10" s="814">
        <f>'Demand Forecast'!AI41</f>
        <v>1067.6031012537871</v>
      </c>
      <c r="AH10" s="814">
        <f>'Demand Forecast'!AJ41</f>
        <v>1078.279132266325</v>
      </c>
      <c r="AI10" s="814">
        <f>'Demand Forecast'!AK41</f>
        <v>1089.0619235889878</v>
      </c>
      <c r="AJ10" s="814">
        <f>'Demand Forecast'!AL41</f>
        <v>1099.952542824878</v>
      </c>
      <c r="AK10" s="814">
        <f>'Demand Forecast'!AM41</f>
        <v>1110.952068253127</v>
      </c>
      <c r="AL10" s="814">
        <f>'Demand Forecast'!AN41</f>
        <v>1122.0615889356582</v>
      </c>
      <c r="AM10" s="814">
        <f>'Demand Forecast'!AO41</f>
        <v>1133.2822048250146</v>
      </c>
      <c r="AN10" s="814">
        <f>'Demand Forecast'!AP41</f>
        <v>1144.6150268732647</v>
      </c>
    </row>
    <row r="11" spans="2:40" x14ac:dyDescent="0.25">
      <c r="B11" t="s">
        <v>773</v>
      </c>
      <c r="C11" s="2" t="s">
        <v>708</v>
      </c>
      <c r="D11" s="814"/>
      <c r="E11" s="814">
        <f>'Demand Forecast'!G36</f>
        <v>0</v>
      </c>
      <c r="F11" s="814">
        <f>'Demand Forecast'!H36</f>
        <v>0</v>
      </c>
      <c r="G11" s="814">
        <f>'Demand Forecast'!I36</f>
        <v>0</v>
      </c>
      <c r="H11" s="814">
        <f>'Demand Forecast'!J36</f>
        <v>0</v>
      </c>
      <c r="I11" s="814">
        <f>'Demand Forecast'!K36</f>
        <v>0</v>
      </c>
      <c r="J11" s="814">
        <f>'Demand Forecast'!L36</f>
        <v>0</v>
      </c>
      <c r="K11" s="814">
        <f>'Demand Forecast'!M36</f>
        <v>31.735206422367494</v>
      </c>
      <c r="L11" s="814">
        <f>'Demand Forecast'!N36</f>
        <v>32.052558486591174</v>
      </c>
      <c r="M11" s="814">
        <f>'Demand Forecast'!O36</f>
        <v>32.373084071457086</v>
      </c>
      <c r="N11" s="814">
        <f>'Demand Forecast'!P36</f>
        <v>32.696814912171661</v>
      </c>
      <c r="O11" s="814">
        <f>'Demand Forecast'!Q36</f>
        <v>33.023783061293372</v>
      </c>
      <c r="P11" s="814">
        <f>'Demand Forecast'!R36</f>
        <v>33.354020891906309</v>
      </c>
      <c r="Q11" s="814">
        <f>'Demand Forecast'!S36</f>
        <v>33.68756110082537</v>
      </c>
      <c r="R11" s="814">
        <f>'Demand Forecast'!T36</f>
        <v>34.02443671183363</v>
      </c>
      <c r="S11" s="814">
        <f>'Demand Forecast'!U36</f>
        <v>34.364681078951953</v>
      </c>
      <c r="T11" s="814">
        <f>'Demand Forecast'!V36</f>
        <v>34.708327889741483</v>
      </c>
      <c r="U11" s="814">
        <f>'Demand Forecast'!W36</f>
        <v>35.055411168638898</v>
      </c>
      <c r="V11" s="814">
        <f>'Demand Forecast'!X36</f>
        <v>35.40596528032529</v>
      </c>
      <c r="W11" s="814">
        <f>'Demand Forecast'!Y36</f>
        <v>35.760024933128541</v>
      </c>
      <c r="X11" s="814">
        <f>'Demand Forecast'!Z36</f>
        <v>36.117625182459825</v>
      </c>
      <c r="Y11" s="814">
        <f>'Demand Forecast'!AA36</f>
        <v>36.478801434284421</v>
      </c>
      <c r="Z11" s="814">
        <f>'Demand Forecast'!AB36</f>
        <v>36.843589448627277</v>
      </c>
      <c r="AA11" s="814">
        <f>'Demand Forecast'!AC36</f>
        <v>37.212025343113538</v>
      </c>
      <c r="AB11" s="814">
        <f>'Demand Forecast'!AD36</f>
        <v>37.58414559654468</v>
      </c>
      <c r="AC11" s="814">
        <f>'Demand Forecast'!AE36</f>
        <v>37.959987052510137</v>
      </c>
      <c r="AD11" s="814">
        <f>'Demand Forecast'!AF36</f>
        <v>38.339586923035235</v>
      </c>
      <c r="AE11" s="814">
        <f>'Demand Forecast'!AG36</f>
        <v>38.722982792265569</v>
      </c>
      <c r="AF11" s="814">
        <f>'Demand Forecast'!AH36</f>
        <v>39.110212620188229</v>
      </c>
      <c r="AG11" s="814">
        <f>'Demand Forecast'!AI36</f>
        <v>39.501314746390122</v>
      </c>
      <c r="AH11" s="814">
        <f>'Demand Forecast'!AJ36</f>
        <v>39.896327893854028</v>
      </c>
      <c r="AI11" s="814">
        <f>'Demand Forecast'!AK36</f>
        <v>40.295291172792552</v>
      </c>
      <c r="AJ11" s="814">
        <f>'Demand Forecast'!AL36</f>
        <v>40.698244084520489</v>
      </c>
      <c r="AK11" s="814">
        <f>'Demand Forecast'!AM36</f>
        <v>41.105226525365694</v>
      </c>
      <c r="AL11" s="814">
        <f>'Demand Forecast'!AN36</f>
        <v>41.516278790619353</v>
      </c>
      <c r="AM11" s="814">
        <f>'Demand Forecast'!AO36</f>
        <v>41.931441578525536</v>
      </c>
      <c r="AN11" s="814">
        <f>'Demand Forecast'!AP36</f>
        <v>42.350755994310795</v>
      </c>
    </row>
    <row r="12" spans="2:40" x14ac:dyDescent="0.25">
      <c r="B12" s="640"/>
    </row>
    <row r="13" spans="2:40" x14ac:dyDescent="0.25">
      <c r="B13" s="640" t="s">
        <v>961</v>
      </c>
      <c r="C13" s="640" t="s">
        <v>967</v>
      </c>
      <c r="D13" s="1015">
        <f>AVERAGE(K13:AN13)</f>
        <v>588418.42822890752</v>
      </c>
      <c r="E13" s="912">
        <f>E10*$C$6</f>
        <v>0</v>
      </c>
      <c r="F13" s="912">
        <f t="shared" ref="F13:AM13" si="3">F10*$C$6</f>
        <v>0</v>
      </c>
      <c r="G13" s="912">
        <f t="shared" si="3"/>
        <v>0</v>
      </c>
      <c r="H13" s="912">
        <f t="shared" si="3"/>
        <v>0</v>
      </c>
      <c r="I13" s="912">
        <f t="shared" si="3"/>
        <v>0</v>
      </c>
      <c r="J13" s="912">
        <f t="shared" si="3"/>
        <v>0</v>
      </c>
      <c r="K13" s="912">
        <f t="shared" si="3"/>
        <v>507477.58779046376</v>
      </c>
      <c r="L13" s="912">
        <f t="shared" si="3"/>
        <v>512552.36366836837</v>
      </c>
      <c r="M13" s="912">
        <f t="shared" si="3"/>
        <v>517677.88730505219</v>
      </c>
      <c r="N13" s="912">
        <f t="shared" si="3"/>
        <v>522854.66617810266</v>
      </c>
      <c r="O13" s="912">
        <f t="shared" si="3"/>
        <v>528083.21283988364</v>
      </c>
      <c r="P13" s="912">
        <f t="shared" si="3"/>
        <v>533364.04496828257</v>
      </c>
      <c r="Q13" s="912">
        <f t="shared" si="3"/>
        <v>538697.68541796529</v>
      </c>
      <c r="R13" s="912">
        <f t="shared" si="3"/>
        <v>544084.66227214504</v>
      </c>
      <c r="S13" s="912">
        <f t="shared" si="3"/>
        <v>549525.50889486633</v>
      </c>
      <c r="T13" s="912">
        <f t="shared" si="3"/>
        <v>555020.76398381521</v>
      </c>
      <c r="U13" s="912">
        <f t="shared" si="3"/>
        <v>560570.97162365331</v>
      </c>
      <c r="V13" s="912">
        <f t="shared" si="3"/>
        <v>566176.68133989</v>
      </c>
      <c r="W13" s="912">
        <f t="shared" si="3"/>
        <v>571838.4481532888</v>
      </c>
      <c r="X13" s="912">
        <f t="shared" si="3"/>
        <v>577556.83263482165</v>
      </c>
      <c r="Y13" s="912">
        <f t="shared" si="3"/>
        <v>583332.40096116986</v>
      </c>
      <c r="Z13" s="912">
        <f t="shared" si="3"/>
        <v>589165.72497078171</v>
      </c>
      <c r="AA13" s="912">
        <f t="shared" si="3"/>
        <v>595057.38222048932</v>
      </c>
      <c r="AB13" s="912">
        <f t="shared" si="3"/>
        <v>601007.95604269439</v>
      </c>
      <c r="AC13" s="912">
        <f t="shared" si="3"/>
        <v>607018.03560312151</v>
      </c>
      <c r="AD13" s="912">
        <f t="shared" si="3"/>
        <v>613088.21595915279</v>
      </c>
      <c r="AE13" s="912">
        <f t="shared" si="3"/>
        <v>619219.09811874386</v>
      </c>
      <c r="AF13" s="912">
        <f t="shared" si="3"/>
        <v>625411.28909993137</v>
      </c>
      <c r="AG13" s="912">
        <f t="shared" si="3"/>
        <v>631665.4019909309</v>
      </c>
      <c r="AH13" s="912">
        <f t="shared" si="3"/>
        <v>637982.05601084011</v>
      </c>
      <c r="AI13" s="912">
        <f t="shared" si="3"/>
        <v>644361.87657094828</v>
      </c>
      <c r="AJ13" s="912">
        <f t="shared" si="3"/>
        <v>650805.49533665797</v>
      </c>
      <c r="AK13" s="912">
        <f t="shared" si="3"/>
        <v>657313.55029002472</v>
      </c>
      <c r="AL13" s="912">
        <f t="shared" si="3"/>
        <v>663886.68579292484</v>
      </c>
      <c r="AM13" s="912">
        <f t="shared" si="3"/>
        <v>670525.55265085399</v>
      </c>
      <c r="AN13" s="912">
        <f t="shared" ref="AN13" si="4">AN10*$C$6</f>
        <v>677230.80817736255</v>
      </c>
    </row>
    <row r="14" spans="2:40" x14ac:dyDescent="0.25">
      <c r="B14" s="640" t="s">
        <v>962</v>
      </c>
      <c r="C14" s="640" t="s">
        <v>967</v>
      </c>
      <c r="D14" s="1015">
        <f>AVERAGE(K14:AN14)</f>
        <v>21264.416457405991</v>
      </c>
      <c r="E14" s="912">
        <f>E11*$C$7*($C$8/hours_day)</f>
        <v>0</v>
      </c>
      <c r="F14" s="912">
        <f t="shared" ref="F14:AM14" si="5">F11*$C$7*($C$8/hours_day)</f>
        <v>0</v>
      </c>
      <c r="G14" s="912">
        <f t="shared" si="5"/>
        <v>0</v>
      </c>
      <c r="H14" s="912">
        <f t="shared" si="5"/>
        <v>0</v>
      </c>
      <c r="I14" s="912">
        <f t="shared" si="5"/>
        <v>0</v>
      </c>
      <c r="J14" s="912">
        <f t="shared" si="5"/>
        <v>0</v>
      </c>
      <c r="K14" s="912">
        <f t="shared" si="5"/>
        <v>18339.355553592912</v>
      </c>
      <c r="L14" s="912">
        <f t="shared" si="5"/>
        <v>18522.749109128843</v>
      </c>
      <c r="M14" s="912">
        <f t="shared" si="5"/>
        <v>18707.976600220132</v>
      </c>
      <c r="N14" s="912">
        <f t="shared" si="5"/>
        <v>18895.056366222336</v>
      </c>
      <c r="O14" s="912">
        <f t="shared" si="5"/>
        <v>19084.006929884556</v>
      </c>
      <c r="P14" s="912">
        <f t="shared" si="5"/>
        <v>19274.846999183403</v>
      </c>
      <c r="Q14" s="912">
        <f t="shared" si="5"/>
        <v>19467.595469175234</v>
      </c>
      <c r="R14" s="912">
        <f t="shared" si="5"/>
        <v>19662.271423866991</v>
      </c>
      <c r="S14" s="912">
        <f t="shared" si="5"/>
        <v>19858.894138105654</v>
      </c>
      <c r="T14" s="912">
        <f t="shared" si="5"/>
        <v>20057.483079486716</v>
      </c>
      <c r="U14" s="912">
        <f t="shared" si="5"/>
        <v>20258.057910281583</v>
      </c>
      <c r="V14" s="912">
        <f t="shared" si="5"/>
        <v>20460.638489384401</v>
      </c>
      <c r="W14" s="912">
        <f t="shared" si="5"/>
        <v>20665.244874278244</v>
      </c>
      <c r="X14" s="912">
        <f t="shared" si="5"/>
        <v>20871.897323021025</v>
      </c>
      <c r="Y14" s="912">
        <f t="shared" si="5"/>
        <v>21080.616296251235</v>
      </c>
      <c r="Z14" s="912">
        <f t="shared" si="5"/>
        <v>21291.422459213754</v>
      </c>
      <c r="AA14" s="912">
        <f t="shared" si="5"/>
        <v>21504.336683805883</v>
      </c>
      <c r="AB14" s="912">
        <f t="shared" si="5"/>
        <v>21719.380050643947</v>
      </c>
      <c r="AC14" s="912">
        <f t="shared" si="5"/>
        <v>21936.573851150391</v>
      </c>
      <c r="AD14" s="912">
        <f t="shared" si="5"/>
        <v>22155.939589661895</v>
      </c>
      <c r="AE14" s="912">
        <f t="shared" si="5"/>
        <v>22377.498985558501</v>
      </c>
      <c r="AF14" s="912">
        <f t="shared" si="5"/>
        <v>22601.273975414093</v>
      </c>
      <c r="AG14" s="912">
        <f t="shared" si="5"/>
        <v>22827.286715168237</v>
      </c>
      <c r="AH14" s="912">
        <f t="shared" si="5"/>
        <v>23055.559582319926</v>
      </c>
      <c r="AI14" s="912">
        <f t="shared" si="5"/>
        <v>23286.115178143114</v>
      </c>
      <c r="AJ14" s="912">
        <f t="shared" si="5"/>
        <v>23518.97632992455</v>
      </c>
      <c r="AK14" s="912">
        <f t="shared" si="5"/>
        <v>23754.166093223794</v>
      </c>
      <c r="AL14" s="912">
        <f t="shared" si="5"/>
        <v>23991.707754156036</v>
      </c>
      <c r="AM14" s="912">
        <f t="shared" si="5"/>
        <v>24231.624831697587</v>
      </c>
      <c r="AN14" s="912">
        <f t="shared" ref="AN14" si="6">AN11*$C$7*($C$8/hours_day)</f>
        <v>24473.941080014567</v>
      </c>
    </row>
    <row r="15" spans="2:40" x14ac:dyDescent="0.25">
      <c r="D15" s="911"/>
      <c r="E15" s="911"/>
      <c r="F15" s="911"/>
      <c r="G15" s="911"/>
      <c r="H15" s="911"/>
      <c r="I15" s="911"/>
      <c r="J15" s="911"/>
      <c r="K15" s="911"/>
      <c r="L15" s="911"/>
      <c r="M15" s="911"/>
      <c r="N15" s="911"/>
      <c r="O15" s="911"/>
      <c r="P15" s="911"/>
      <c r="Q15" s="911"/>
      <c r="R15" s="911"/>
      <c r="S15" s="911"/>
      <c r="T15" s="911"/>
      <c r="U15" s="911"/>
      <c r="V15" s="911"/>
      <c r="W15" s="911"/>
      <c r="X15" s="911"/>
      <c r="Y15" s="911"/>
      <c r="Z15" s="911"/>
      <c r="AA15" s="911"/>
      <c r="AB15" s="911"/>
      <c r="AC15" s="911"/>
      <c r="AD15" s="911"/>
      <c r="AE15" s="911"/>
      <c r="AF15" s="911"/>
      <c r="AG15" s="911"/>
      <c r="AH15" s="911"/>
      <c r="AI15" s="911"/>
      <c r="AJ15" s="911"/>
      <c r="AK15" s="911"/>
      <c r="AL15" s="911"/>
      <c r="AM15" s="911"/>
    </row>
  </sheetData>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N23"/>
  <sheetViews>
    <sheetView zoomScale="80" zoomScaleNormal="80" workbookViewId="0">
      <pane xSplit="3" ySplit="4" topLeftCell="D5" activePane="bottomRight" state="frozen"/>
      <selection pane="topRight" activeCell="D1" sqref="D1"/>
      <selection pane="bottomLeft" activeCell="A6" sqref="A6"/>
      <selection pane="bottomRight"/>
    </sheetView>
  </sheetViews>
  <sheetFormatPr defaultRowHeight="14.4" x14ac:dyDescent="0.25"/>
  <cols>
    <col min="1" max="1" width="1.77734375" customWidth="1"/>
    <col min="2" max="2" width="61.88671875" bestFit="1" customWidth="1"/>
    <col min="3" max="3" width="14.6640625" customWidth="1"/>
    <col min="4" max="4" width="13.109375" customWidth="1"/>
    <col min="5" max="9" width="11.77734375" customWidth="1"/>
    <col min="10" max="10" width="12.33203125" bestFit="1" customWidth="1"/>
    <col min="11" max="39" width="11.77734375" customWidth="1"/>
    <col min="40" max="40" width="8.88671875" customWidth="1"/>
  </cols>
  <sheetData>
    <row r="1" spans="1:40" ht="7.55" customHeight="1" x14ac:dyDescent="0.25"/>
    <row r="2" spans="1:40" ht="17.7" x14ac:dyDescent="0.3">
      <c r="A2" s="839"/>
      <c r="B2" s="765" t="s">
        <v>748</v>
      </c>
    </row>
    <row r="3" spans="1:40" x14ac:dyDescent="0.25">
      <c r="C3" s="645" t="s">
        <v>544</v>
      </c>
      <c r="D3" s="645"/>
    </row>
    <row r="4" spans="1:40" ht="15.75" customHeight="1" x14ac:dyDescent="0.25">
      <c r="C4" s="648">
        <f>Assumptions!$D$10</f>
        <v>2018</v>
      </c>
      <c r="D4" s="672" t="s">
        <v>148</v>
      </c>
      <c r="E4" s="672">
        <v>2019</v>
      </c>
      <c r="F4" s="672">
        <f>E4+1</f>
        <v>2020</v>
      </c>
      <c r="G4" s="672">
        <f t="shared" ref="G4:AK4" si="0">F4+1</f>
        <v>2021</v>
      </c>
      <c r="H4" s="672">
        <f t="shared" si="0"/>
        <v>2022</v>
      </c>
      <c r="I4" s="672">
        <f t="shared" si="0"/>
        <v>2023</v>
      </c>
      <c r="J4" s="672">
        <f t="shared" si="0"/>
        <v>2024</v>
      </c>
      <c r="K4" s="672">
        <f t="shared" si="0"/>
        <v>2025</v>
      </c>
      <c r="L4" s="672">
        <f t="shared" si="0"/>
        <v>2026</v>
      </c>
      <c r="M4" s="672">
        <f t="shared" si="0"/>
        <v>2027</v>
      </c>
      <c r="N4" s="672">
        <f t="shared" si="0"/>
        <v>2028</v>
      </c>
      <c r="O4" s="672">
        <f t="shared" si="0"/>
        <v>2029</v>
      </c>
      <c r="P4" s="672">
        <f t="shared" si="0"/>
        <v>2030</v>
      </c>
      <c r="Q4" s="672">
        <f t="shared" si="0"/>
        <v>2031</v>
      </c>
      <c r="R4" s="672">
        <f t="shared" si="0"/>
        <v>2032</v>
      </c>
      <c r="S4" s="672">
        <f t="shared" si="0"/>
        <v>2033</v>
      </c>
      <c r="T4" s="672">
        <f t="shared" si="0"/>
        <v>2034</v>
      </c>
      <c r="U4" s="672">
        <f t="shared" si="0"/>
        <v>2035</v>
      </c>
      <c r="V4" s="672">
        <f t="shared" si="0"/>
        <v>2036</v>
      </c>
      <c r="W4" s="672">
        <f t="shared" si="0"/>
        <v>2037</v>
      </c>
      <c r="X4" s="672">
        <f t="shared" si="0"/>
        <v>2038</v>
      </c>
      <c r="Y4" s="672">
        <f t="shared" si="0"/>
        <v>2039</v>
      </c>
      <c r="Z4" s="672">
        <f t="shared" si="0"/>
        <v>2040</v>
      </c>
      <c r="AA4" s="672">
        <f t="shared" si="0"/>
        <v>2041</v>
      </c>
      <c r="AB4" s="672">
        <f t="shared" si="0"/>
        <v>2042</v>
      </c>
      <c r="AC4" s="672">
        <f t="shared" si="0"/>
        <v>2043</v>
      </c>
      <c r="AD4" s="672">
        <f t="shared" si="0"/>
        <v>2044</v>
      </c>
      <c r="AE4" s="672">
        <f t="shared" si="0"/>
        <v>2045</v>
      </c>
      <c r="AF4" s="672">
        <f t="shared" si="0"/>
        <v>2046</v>
      </c>
      <c r="AG4" s="672">
        <f t="shared" si="0"/>
        <v>2047</v>
      </c>
      <c r="AH4" s="672">
        <f t="shared" si="0"/>
        <v>2048</v>
      </c>
      <c r="AI4" s="672">
        <f t="shared" si="0"/>
        <v>2049</v>
      </c>
      <c r="AJ4" s="672">
        <f t="shared" si="0"/>
        <v>2050</v>
      </c>
      <c r="AK4" s="672">
        <f t="shared" si="0"/>
        <v>2051</v>
      </c>
      <c r="AL4" s="672">
        <f t="shared" ref="AL4" si="1">AK4+1</f>
        <v>2052</v>
      </c>
      <c r="AM4" s="672">
        <f t="shared" ref="AM4:AN4" si="2">AL4+1</f>
        <v>2053</v>
      </c>
      <c r="AN4" s="672">
        <f t="shared" si="2"/>
        <v>2054</v>
      </c>
    </row>
    <row r="5" spans="1:40" x14ac:dyDescent="0.25">
      <c r="B5" t="s">
        <v>938</v>
      </c>
      <c r="C5" s="819">
        <f>Assumptions!$D$77</f>
        <v>170.59953827329883</v>
      </c>
    </row>
    <row r="6" spans="1:40" x14ac:dyDescent="0.25">
      <c r="B6" t="s">
        <v>939</v>
      </c>
      <c r="C6" s="819">
        <f>Assumptions!$D$80</f>
        <v>33.215714285714284</v>
      </c>
    </row>
    <row r="7" spans="1:40" x14ac:dyDescent="0.25">
      <c r="B7" t="s">
        <v>774</v>
      </c>
      <c r="C7" s="819">
        <f>Assumptions!$D$68</f>
        <v>506.22880000000004</v>
      </c>
    </row>
    <row r="10" spans="1:40" x14ac:dyDescent="0.25">
      <c r="B10" s="808" t="s">
        <v>968</v>
      </c>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0"/>
      <c r="AJ10" s="800"/>
      <c r="AK10" s="800"/>
      <c r="AL10" s="800"/>
      <c r="AM10" s="800"/>
      <c r="AN10" s="800"/>
    </row>
    <row r="11" spans="1:40" x14ac:dyDescent="0.25">
      <c r="B11" t="s">
        <v>863</v>
      </c>
      <c r="C11" s="2" t="s">
        <v>970</v>
      </c>
      <c r="D11" s="834"/>
      <c r="E11" s="834">
        <f>'Demand Forecast'!G53</f>
        <v>0</v>
      </c>
      <c r="F11" s="834">
        <f>'Demand Forecast'!H53</f>
        <v>0</v>
      </c>
      <c r="G11" s="834">
        <f>'Demand Forecast'!I53</f>
        <v>0</v>
      </c>
      <c r="H11" s="834">
        <f>'Demand Forecast'!J53</f>
        <v>0</v>
      </c>
      <c r="I11" s="834">
        <f>'Demand Forecast'!K53</f>
        <v>0</v>
      </c>
      <c r="J11" s="834">
        <f>'Demand Forecast'!L53</f>
        <v>0</v>
      </c>
      <c r="K11" s="834">
        <f>'Demand Forecast'!M53</f>
        <v>546.26575342465753</v>
      </c>
      <c r="L11" s="834">
        <f>'Demand Forecast'!N53</f>
        <v>546.26575342465753</v>
      </c>
      <c r="M11" s="834">
        <f>'Demand Forecast'!O53</f>
        <v>546.26575342465753</v>
      </c>
      <c r="N11" s="834">
        <f>'Demand Forecast'!P53</f>
        <v>546.26575342465753</v>
      </c>
      <c r="O11" s="834">
        <f>'Demand Forecast'!Q53</f>
        <v>546.26575342465753</v>
      </c>
      <c r="P11" s="834">
        <f>'Demand Forecast'!R53</f>
        <v>546.26575342465753</v>
      </c>
      <c r="Q11" s="834">
        <f>'Demand Forecast'!S53</f>
        <v>546.26575342465753</v>
      </c>
      <c r="R11" s="834">
        <f>'Demand Forecast'!T53</f>
        <v>546.26575342465753</v>
      </c>
      <c r="S11" s="834">
        <f>'Demand Forecast'!U53</f>
        <v>546.26575342465753</v>
      </c>
      <c r="T11" s="834">
        <f>'Demand Forecast'!V53</f>
        <v>546.26575342465753</v>
      </c>
      <c r="U11" s="834">
        <f>'Demand Forecast'!W53</f>
        <v>546.26575342465753</v>
      </c>
      <c r="V11" s="834">
        <f>'Demand Forecast'!X53</f>
        <v>546.26575342465753</v>
      </c>
      <c r="W11" s="834">
        <f>'Demand Forecast'!Y53</f>
        <v>546.26575342465753</v>
      </c>
      <c r="X11" s="834">
        <f>'Demand Forecast'!Z53</f>
        <v>546.26575342465753</v>
      </c>
      <c r="Y11" s="834">
        <f>'Demand Forecast'!AA53</f>
        <v>546.26575342465753</v>
      </c>
      <c r="Z11" s="834">
        <f>'Demand Forecast'!AB53</f>
        <v>546.26575342465753</v>
      </c>
      <c r="AA11" s="834">
        <f>'Demand Forecast'!AC53</f>
        <v>546.26575342465753</v>
      </c>
      <c r="AB11" s="834">
        <f>'Demand Forecast'!AD53</f>
        <v>546.26575342465753</v>
      </c>
      <c r="AC11" s="834">
        <f>'Demand Forecast'!AE53</f>
        <v>546.26575342465753</v>
      </c>
      <c r="AD11" s="834">
        <f>'Demand Forecast'!AF53</f>
        <v>546.26575342465753</v>
      </c>
      <c r="AE11" s="834">
        <f>'Demand Forecast'!AG53</f>
        <v>546.26575342465753</v>
      </c>
      <c r="AF11" s="834">
        <f>'Demand Forecast'!AH53</f>
        <v>546.26575342465753</v>
      </c>
      <c r="AG11" s="834">
        <f>'Demand Forecast'!AI53</f>
        <v>546.26575342465753</v>
      </c>
      <c r="AH11" s="834">
        <f>'Demand Forecast'!AJ53</f>
        <v>546.26575342465753</v>
      </c>
      <c r="AI11" s="834">
        <f>'Demand Forecast'!AK53</f>
        <v>546.26575342465753</v>
      </c>
      <c r="AJ11" s="834">
        <f>'Demand Forecast'!AL53</f>
        <v>546.26575342465753</v>
      </c>
      <c r="AK11" s="834">
        <f>'Demand Forecast'!AM53</f>
        <v>546.26575342465753</v>
      </c>
      <c r="AL11" s="834">
        <f>'Demand Forecast'!AN53</f>
        <v>546.26575342465753</v>
      </c>
      <c r="AM11" s="834">
        <f>'Demand Forecast'!AO53</f>
        <v>546.26575342465753</v>
      </c>
      <c r="AN11" s="834">
        <f>'Demand Forecast'!AP53</f>
        <v>546.26575342465753</v>
      </c>
    </row>
    <row r="12" spans="1:40" x14ac:dyDescent="0.25">
      <c r="B12" t="s">
        <v>864</v>
      </c>
      <c r="C12" s="2" t="s">
        <v>970</v>
      </c>
      <c r="D12" s="834"/>
      <c r="E12" s="834">
        <f>'Demand Forecast'!G57</f>
        <v>0</v>
      </c>
      <c r="F12" s="834">
        <f>'Demand Forecast'!H57</f>
        <v>0</v>
      </c>
      <c r="G12" s="834">
        <f>'Demand Forecast'!I57</f>
        <v>0</v>
      </c>
      <c r="H12" s="834">
        <f>'Demand Forecast'!J57</f>
        <v>0</v>
      </c>
      <c r="I12" s="834">
        <f>'Demand Forecast'!K57</f>
        <v>0</v>
      </c>
      <c r="J12" s="834">
        <f>'Demand Forecast'!L57</f>
        <v>0</v>
      </c>
      <c r="K12" s="834">
        <f>'Demand Forecast'!M57</f>
        <v>80.906849315068499</v>
      </c>
      <c r="L12" s="834">
        <f>'Demand Forecast'!N57</f>
        <v>80.906849315068499</v>
      </c>
      <c r="M12" s="834">
        <f>'Demand Forecast'!O57</f>
        <v>80.906849315068499</v>
      </c>
      <c r="N12" s="834">
        <f>'Demand Forecast'!P57</f>
        <v>80.906849315068499</v>
      </c>
      <c r="O12" s="834">
        <f>'Demand Forecast'!Q57</f>
        <v>80.906849315068499</v>
      </c>
      <c r="P12" s="834">
        <f>'Demand Forecast'!R57</f>
        <v>80.906849315068499</v>
      </c>
      <c r="Q12" s="834">
        <f>'Demand Forecast'!S57</f>
        <v>80.906849315068499</v>
      </c>
      <c r="R12" s="834">
        <f>'Demand Forecast'!T57</f>
        <v>80.906849315068499</v>
      </c>
      <c r="S12" s="834">
        <f>'Demand Forecast'!U57</f>
        <v>80.906849315068499</v>
      </c>
      <c r="T12" s="834">
        <f>'Demand Forecast'!V57</f>
        <v>80.906849315068499</v>
      </c>
      <c r="U12" s="834">
        <f>'Demand Forecast'!W57</f>
        <v>80.906849315068499</v>
      </c>
      <c r="V12" s="834">
        <f>'Demand Forecast'!X57</f>
        <v>80.906849315068499</v>
      </c>
      <c r="W12" s="834">
        <f>'Demand Forecast'!Y57</f>
        <v>80.906849315068499</v>
      </c>
      <c r="X12" s="834">
        <f>'Demand Forecast'!Z57</f>
        <v>80.906849315068499</v>
      </c>
      <c r="Y12" s="834">
        <f>'Demand Forecast'!AA57</f>
        <v>80.906849315068499</v>
      </c>
      <c r="Z12" s="834">
        <f>'Demand Forecast'!AB57</f>
        <v>80.906849315068499</v>
      </c>
      <c r="AA12" s="834">
        <f>'Demand Forecast'!AC57</f>
        <v>80.906849315068499</v>
      </c>
      <c r="AB12" s="834">
        <f>'Demand Forecast'!AD57</f>
        <v>80.906849315068499</v>
      </c>
      <c r="AC12" s="834">
        <f>'Demand Forecast'!AE57</f>
        <v>80.906849315068499</v>
      </c>
      <c r="AD12" s="834">
        <f>'Demand Forecast'!AF57</f>
        <v>80.906849315068499</v>
      </c>
      <c r="AE12" s="834">
        <f>'Demand Forecast'!AG57</f>
        <v>80.906849315068499</v>
      </c>
      <c r="AF12" s="834">
        <f>'Demand Forecast'!AH57</f>
        <v>80.906849315068499</v>
      </c>
      <c r="AG12" s="834">
        <f>'Demand Forecast'!AI57</f>
        <v>80.906849315068499</v>
      </c>
      <c r="AH12" s="834">
        <f>'Demand Forecast'!AJ57</f>
        <v>80.906849315068499</v>
      </c>
      <c r="AI12" s="834">
        <f>'Demand Forecast'!AK57</f>
        <v>80.906849315068499</v>
      </c>
      <c r="AJ12" s="834">
        <f>'Demand Forecast'!AL57</f>
        <v>80.906849315068499</v>
      </c>
      <c r="AK12" s="834">
        <f>'Demand Forecast'!AM57</f>
        <v>80.906849315068499</v>
      </c>
      <c r="AL12" s="834">
        <f>'Demand Forecast'!AN57</f>
        <v>80.906849315068499</v>
      </c>
      <c r="AM12" s="834">
        <f>'Demand Forecast'!AO57</f>
        <v>80.906849315068499</v>
      </c>
      <c r="AN12" s="834">
        <f>'Demand Forecast'!AP57</f>
        <v>80.906849315068499</v>
      </c>
    </row>
    <row r="13" spans="1:40" x14ac:dyDescent="0.25">
      <c r="B13" s="640" t="s">
        <v>1068</v>
      </c>
      <c r="C13" s="653" t="s">
        <v>967</v>
      </c>
      <c r="D13" s="1015">
        <f>AVERAGE(K13:AN13)</f>
        <v>106995.35644506026</v>
      </c>
      <c r="E13" s="912">
        <f>E11*$C$5</f>
        <v>0</v>
      </c>
      <c r="F13" s="912">
        <f t="shared" ref="F13:AN13" si="3">SUM(F11:F12)*$C$5</f>
        <v>0</v>
      </c>
      <c r="G13" s="912">
        <f t="shared" si="3"/>
        <v>0</v>
      </c>
      <c r="H13" s="912">
        <f t="shared" si="3"/>
        <v>0</v>
      </c>
      <c r="I13" s="912">
        <f t="shared" si="3"/>
        <v>0</v>
      </c>
      <c r="J13" s="912">
        <f t="shared" si="3"/>
        <v>0</v>
      </c>
      <c r="K13" s="912">
        <f t="shared" si="3"/>
        <v>106995.35644506033</v>
      </c>
      <c r="L13" s="912">
        <f t="shared" si="3"/>
        <v>106995.35644506033</v>
      </c>
      <c r="M13" s="912">
        <f t="shared" si="3"/>
        <v>106995.35644506033</v>
      </c>
      <c r="N13" s="912">
        <f t="shared" si="3"/>
        <v>106995.35644506033</v>
      </c>
      <c r="O13" s="912">
        <f t="shared" si="3"/>
        <v>106995.35644506033</v>
      </c>
      <c r="P13" s="912">
        <f t="shared" si="3"/>
        <v>106995.35644506033</v>
      </c>
      <c r="Q13" s="912">
        <f t="shared" si="3"/>
        <v>106995.35644506033</v>
      </c>
      <c r="R13" s="912">
        <f t="shared" si="3"/>
        <v>106995.35644506033</v>
      </c>
      <c r="S13" s="912">
        <f t="shared" si="3"/>
        <v>106995.35644506033</v>
      </c>
      <c r="T13" s="912">
        <f t="shared" si="3"/>
        <v>106995.35644506033</v>
      </c>
      <c r="U13" s="912">
        <f t="shared" si="3"/>
        <v>106995.35644506033</v>
      </c>
      <c r="V13" s="912">
        <f t="shared" si="3"/>
        <v>106995.35644506033</v>
      </c>
      <c r="W13" s="912">
        <f t="shared" si="3"/>
        <v>106995.35644506033</v>
      </c>
      <c r="X13" s="912">
        <f t="shared" si="3"/>
        <v>106995.35644506033</v>
      </c>
      <c r="Y13" s="912">
        <f t="shared" si="3"/>
        <v>106995.35644506033</v>
      </c>
      <c r="Z13" s="912">
        <f t="shared" si="3"/>
        <v>106995.35644506033</v>
      </c>
      <c r="AA13" s="912">
        <f t="shared" si="3"/>
        <v>106995.35644506033</v>
      </c>
      <c r="AB13" s="912">
        <f t="shared" si="3"/>
        <v>106995.35644506033</v>
      </c>
      <c r="AC13" s="912">
        <f t="shared" si="3"/>
        <v>106995.35644506033</v>
      </c>
      <c r="AD13" s="912">
        <f t="shared" si="3"/>
        <v>106995.35644506033</v>
      </c>
      <c r="AE13" s="912">
        <f t="shared" si="3"/>
        <v>106995.35644506033</v>
      </c>
      <c r="AF13" s="912">
        <f t="shared" si="3"/>
        <v>106995.35644506033</v>
      </c>
      <c r="AG13" s="912">
        <f t="shared" si="3"/>
        <v>106995.35644506033</v>
      </c>
      <c r="AH13" s="912">
        <f t="shared" si="3"/>
        <v>106995.35644506033</v>
      </c>
      <c r="AI13" s="912">
        <f t="shared" si="3"/>
        <v>106995.35644506033</v>
      </c>
      <c r="AJ13" s="912">
        <f t="shared" si="3"/>
        <v>106995.35644506033</v>
      </c>
      <c r="AK13" s="912">
        <f t="shared" si="3"/>
        <v>106995.35644506033</v>
      </c>
      <c r="AL13" s="912">
        <f t="shared" si="3"/>
        <v>106995.35644506033</v>
      </c>
      <c r="AM13" s="912">
        <f t="shared" si="3"/>
        <v>106995.35644506033</v>
      </c>
      <c r="AN13" s="912">
        <f t="shared" si="3"/>
        <v>106995.35644506033</v>
      </c>
    </row>
    <row r="14" spans="1:40" x14ac:dyDescent="0.25">
      <c r="B14" s="640" t="s">
        <v>1069</v>
      </c>
      <c r="C14" s="653" t="s">
        <v>967</v>
      </c>
      <c r="D14" s="1015">
        <f>AVERAGE(K14:AN14)</f>
        <v>13802.671136298044</v>
      </c>
      <c r="E14" s="912">
        <f>E12*$C$5</f>
        <v>0</v>
      </c>
      <c r="F14" s="912">
        <f t="shared" ref="F14:AN14" si="4">F12*$C$5</f>
        <v>0</v>
      </c>
      <c r="G14" s="912">
        <f t="shared" si="4"/>
        <v>0</v>
      </c>
      <c r="H14" s="912">
        <f t="shared" si="4"/>
        <v>0</v>
      </c>
      <c r="I14" s="912">
        <f t="shared" si="4"/>
        <v>0</v>
      </c>
      <c r="J14" s="912">
        <f t="shared" si="4"/>
        <v>0</v>
      </c>
      <c r="K14" s="912">
        <f t="shared" si="4"/>
        <v>13802.67113629805</v>
      </c>
      <c r="L14" s="912">
        <f t="shared" si="4"/>
        <v>13802.67113629805</v>
      </c>
      <c r="M14" s="912">
        <f t="shared" si="4"/>
        <v>13802.67113629805</v>
      </c>
      <c r="N14" s="912">
        <f t="shared" si="4"/>
        <v>13802.67113629805</v>
      </c>
      <c r="O14" s="912">
        <f t="shared" si="4"/>
        <v>13802.67113629805</v>
      </c>
      <c r="P14" s="912">
        <f t="shared" si="4"/>
        <v>13802.67113629805</v>
      </c>
      <c r="Q14" s="912">
        <f t="shared" si="4"/>
        <v>13802.67113629805</v>
      </c>
      <c r="R14" s="912">
        <f t="shared" si="4"/>
        <v>13802.67113629805</v>
      </c>
      <c r="S14" s="912">
        <f t="shared" si="4"/>
        <v>13802.67113629805</v>
      </c>
      <c r="T14" s="912">
        <f t="shared" si="4"/>
        <v>13802.67113629805</v>
      </c>
      <c r="U14" s="912">
        <f t="shared" si="4"/>
        <v>13802.67113629805</v>
      </c>
      <c r="V14" s="912">
        <f t="shared" si="4"/>
        <v>13802.67113629805</v>
      </c>
      <c r="W14" s="912">
        <f t="shared" si="4"/>
        <v>13802.67113629805</v>
      </c>
      <c r="X14" s="912">
        <f t="shared" si="4"/>
        <v>13802.67113629805</v>
      </c>
      <c r="Y14" s="912">
        <f t="shared" si="4"/>
        <v>13802.67113629805</v>
      </c>
      <c r="Z14" s="912">
        <f t="shared" si="4"/>
        <v>13802.67113629805</v>
      </c>
      <c r="AA14" s="912">
        <f t="shared" si="4"/>
        <v>13802.67113629805</v>
      </c>
      <c r="AB14" s="912">
        <f t="shared" si="4"/>
        <v>13802.67113629805</v>
      </c>
      <c r="AC14" s="912">
        <f t="shared" si="4"/>
        <v>13802.67113629805</v>
      </c>
      <c r="AD14" s="912">
        <f t="shared" si="4"/>
        <v>13802.67113629805</v>
      </c>
      <c r="AE14" s="912">
        <f t="shared" si="4"/>
        <v>13802.67113629805</v>
      </c>
      <c r="AF14" s="912">
        <f t="shared" si="4"/>
        <v>13802.67113629805</v>
      </c>
      <c r="AG14" s="912">
        <f t="shared" si="4"/>
        <v>13802.67113629805</v>
      </c>
      <c r="AH14" s="912">
        <f t="shared" si="4"/>
        <v>13802.67113629805</v>
      </c>
      <c r="AI14" s="912">
        <f t="shared" si="4"/>
        <v>13802.67113629805</v>
      </c>
      <c r="AJ14" s="912">
        <f t="shared" si="4"/>
        <v>13802.67113629805</v>
      </c>
      <c r="AK14" s="912">
        <f t="shared" si="4"/>
        <v>13802.67113629805</v>
      </c>
      <c r="AL14" s="912">
        <f t="shared" si="4"/>
        <v>13802.67113629805</v>
      </c>
      <c r="AM14" s="912">
        <f t="shared" si="4"/>
        <v>13802.67113629805</v>
      </c>
      <c r="AN14" s="912">
        <f t="shared" si="4"/>
        <v>13802.67113629805</v>
      </c>
    </row>
    <row r="15" spans="1:40" x14ac:dyDescent="0.25">
      <c r="B15" s="640"/>
      <c r="C15" s="653"/>
      <c r="D15" s="912"/>
      <c r="E15" s="912"/>
      <c r="F15" s="912"/>
      <c r="G15" s="912"/>
      <c r="H15" s="912"/>
      <c r="I15" s="912"/>
      <c r="J15" s="912"/>
      <c r="K15" s="912"/>
      <c r="L15" s="912"/>
      <c r="M15" s="912"/>
      <c r="N15" s="912"/>
      <c r="O15" s="912"/>
      <c r="P15" s="912"/>
      <c r="Q15" s="912"/>
      <c r="R15" s="912"/>
      <c r="S15" s="912"/>
      <c r="T15" s="912"/>
      <c r="U15" s="912"/>
      <c r="V15" s="912"/>
      <c r="W15" s="912"/>
      <c r="X15" s="912"/>
      <c r="Y15" s="912"/>
      <c r="Z15" s="912"/>
      <c r="AA15" s="912"/>
      <c r="AB15" s="912"/>
      <c r="AC15" s="912"/>
      <c r="AD15" s="912"/>
      <c r="AE15" s="912"/>
      <c r="AF15" s="912"/>
      <c r="AG15" s="912"/>
      <c r="AH15" s="912"/>
      <c r="AI15" s="912"/>
      <c r="AJ15" s="912"/>
      <c r="AK15" s="912"/>
      <c r="AL15" s="912"/>
      <c r="AM15" s="912"/>
      <c r="AN15" s="912"/>
    </row>
    <row r="16" spans="1:40" x14ac:dyDescent="0.25">
      <c r="B16" s="1" t="s">
        <v>948</v>
      </c>
      <c r="C16" s="2" t="s">
        <v>970</v>
      </c>
      <c r="D16" s="834"/>
      <c r="E16" s="834">
        <f>'Demand Forecast'!G58</f>
        <v>0</v>
      </c>
      <c r="F16" s="834">
        <f>'Demand Forecast'!H58</f>
        <v>0</v>
      </c>
      <c r="G16" s="834">
        <f>'Demand Forecast'!I58</f>
        <v>0</v>
      </c>
      <c r="H16" s="834">
        <f>'Demand Forecast'!J58</f>
        <v>0</v>
      </c>
      <c r="I16" s="834">
        <f>'Demand Forecast'!K58</f>
        <v>0</v>
      </c>
      <c r="J16" s="834">
        <f>'Demand Forecast'!L58</f>
        <v>0</v>
      </c>
      <c r="K16" s="834">
        <f>'Demand Forecast'!M58</f>
        <v>80.906849315068499</v>
      </c>
      <c r="L16" s="834">
        <f>'Demand Forecast'!N58</f>
        <v>80.906849315068499</v>
      </c>
      <c r="M16" s="834">
        <f>'Demand Forecast'!O58</f>
        <v>80.906849315068499</v>
      </c>
      <c r="N16" s="834">
        <f>'Demand Forecast'!P58</f>
        <v>80.906849315068499</v>
      </c>
      <c r="O16" s="834">
        <f>'Demand Forecast'!Q58</f>
        <v>80.906849315068499</v>
      </c>
      <c r="P16" s="834">
        <f>'Demand Forecast'!R58</f>
        <v>80.906849315068499</v>
      </c>
      <c r="Q16" s="834">
        <f>'Demand Forecast'!S58</f>
        <v>80.906849315068499</v>
      </c>
      <c r="R16" s="834">
        <f>'Demand Forecast'!T58</f>
        <v>80.906849315068499</v>
      </c>
      <c r="S16" s="834">
        <f>'Demand Forecast'!U58</f>
        <v>80.906849315068499</v>
      </c>
      <c r="T16" s="834">
        <f>'Demand Forecast'!V58</f>
        <v>80.906849315068499</v>
      </c>
      <c r="U16" s="834">
        <f>'Demand Forecast'!W58</f>
        <v>80.906849315068499</v>
      </c>
      <c r="V16" s="834">
        <f>'Demand Forecast'!X58</f>
        <v>80.906849315068499</v>
      </c>
      <c r="W16" s="834">
        <f>'Demand Forecast'!Y58</f>
        <v>80.906849315068499</v>
      </c>
      <c r="X16" s="834">
        <f>'Demand Forecast'!Z58</f>
        <v>80.906849315068499</v>
      </c>
      <c r="Y16" s="834">
        <f>'Demand Forecast'!AA58</f>
        <v>80.906849315068499</v>
      </c>
      <c r="Z16" s="834">
        <f>'Demand Forecast'!AB58</f>
        <v>80.906849315068499</v>
      </c>
      <c r="AA16" s="834">
        <f>'Demand Forecast'!AC58</f>
        <v>80.906849315068499</v>
      </c>
      <c r="AB16" s="834">
        <f>'Demand Forecast'!AD58</f>
        <v>80.906849315068499</v>
      </c>
      <c r="AC16" s="834">
        <f>'Demand Forecast'!AE58</f>
        <v>80.906849315068499</v>
      </c>
      <c r="AD16" s="834">
        <f>'Demand Forecast'!AF58</f>
        <v>80.906849315068499</v>
      </c>
      <c r="AE16" s="834">
        <f>'Demand Forecast'!AG58</f>
        <v>80.906849315068499</v>
      </c>
      <c r="AF16" s="834">
        <f>'Demand Forecast'!AH58</f>
        <v>80.906849315068499</v>
      </c>
      <c r="AG16" s="834">
        <f>'Demand Forecast'!AI58</f>
        <v>80.906849315068499</v>
      </c>
      <c r="AH16" s="834">
        <f>'Demand Forecast'!AJ58</f>
        <v>80.906849315068499</v>
      </c>
      <c r="AI16" s="834">
        <f>'Demand Forecast'!AK58</f>
        <v>80.906849315068499</v>
      </c>
      <c r="AJ16" s="834">
        <f>'Demand Forecast'!AL58</f>
        <v>80.906849315068499</v>
      </c>
      <c r="AK16" s="834">
        <f>'Demand Forecast'!AM58</f>
        <v>80.906849315068499</v>
      </c>
      <c r="AL16" s="834">
        <f>'Demand Forecast'!AN58</f>
        <v>80.906849315068499</v>
      </c>
      <c r="AM16" s="834">
        <f>'Demand Forecast'!AO58</f>
        <v>80.906849315068499</v>
      </c>
      <c r="AN16" s="834">
        <f>'Demand Forecast'!AP58</f>
        <v>80.906849315068499</v>
      </c>
    </row>
    <row r="17" spans="2:40" x14ac:dyDescent="0.25">
      <c r="B17" s="640" t="s">
        <v>977</v>
      </c>
      <c r="C17" s="653" t="s">
        <v>967</v>
      </c>
      <c r="D17" s="1015">
        <f>AVERAGE(K17:AN17)</f>
        <v>2687.3787906066559</v>
      </c>
      <c r="E17" s="912">
        <f>E16*$C$6</f>
        <v>0</v>
      </c>
      <c r="F17" s="912">
        <f t="shared" ref="F17:AN17" si="5">F16*$C$6</f>
        <v>0</v>
      </c>
      <c r="G17" s="912">
        <f t="shared" si="5"/>
        <v>0</v>
      </c>
      <c r="H17" s="912">
        <f t="shared" si="5"/>
        <v>0</v>
      </c>
      <c r="I17" s="912">
        <f t="shared" si="5"/>
        <v>0</v>
      </c>
      <c r="J17" s="912">
        <f t="shared" si="5"/>
        <v>0</v>
      </c>
      <c r="K17" s="912">
        <f t="shared" si="5"/>
        <v>2687.3787906066536</v>
      </c>
      <c r="L17" s="912">
        <f t="shared" si="5"/>
        <v>2687.3787906066536</v>
      </c>
      <c r="M17" s="912">
        <f t="shared" si="5"/>
        <v>2687.3787906066536</v>
      </c>
      <c r="N17" s="912">
        <f t="shared" si="5"/>
        <v>2687.3787906066536</v>
      </c>
      <c r="O17" s="912">
        <f t="shared" si="5"/>
        <v>2687.3787906066536</v>
      </c>
      <c r="P17" s="912">
        <f t="shared" si="5"/>
        <v>2687.3787906066536</v>
      </c>
      <c r="Q17" s="912">
        <f t="shared" si="5"/>
        <v>2687.3787906066536</v>
      </c>
      <c r="R17" s="912">
        <f t="shared" si="5"/>
        <v>2687.3787906066536</v>
      </c>
      <c r="S17" s="912">
        <f t="shared" si="5"/>
        <v>2687.3787906066536</v>
      </c>
      <c r="T17" s="912">
        <f t="shared" si="5"/>
        <v>2687.3787906066536</v>
      </c>
      <c r="U17" s="912">
        <f t="shared" si="5"/>
        <v>2687.3787906066536</v>
      </c>
      <c r="V17" s="912">
        <f t="shared" si="5"/>
        <v>2687.3787906066536</v>
      </c>
      <c r="W17" s="912">
        <f t="shared" si="5"/>
        <v>2687.3787906066536</v>
      </c>
      <c r="X17" s="912">
        <f t="shared" si="5"/>
        <v>2687.3787906066536</v>
      </c>
      <c r="Y17" s="912">
        <f t="shared" si="5"/>
        <v>2687.3787906066536</v>
      </c>
      <c r="Z17" s="912">
        <f t="shared" si="5"/>
        <v>2687.3787906066536</v>
      </c>
      <c r="AA17" s="912">
        <f t="shared" si="5"/>
        <v>2687.3787906066536</v>
      </c>
      <c r="AB17" s="912">
        <f t="shared" si="5"/>
        <v>2687.3787906066536</v>
      </c>
      <c r="AC17" s="912">
        <f t="shared" si="5"/>
        <v>2687.3787906066536</v>
      </c>
      <c r="AD17" s="912">
        <f t="shared" si="5"/>
        <v>2687.3787906066536</v>
      </c>
      <c r="AE17" s="912">
        <f t="shared" si="5"/>
        <v>2687.3787906066536</v>
      </c>
      <c r="AF17" s="912">
        <f t="shared" si="5"/>
        <v>2687.3787906066536</v>
      </c>
      <c r="AG17" s="912">
        <f t="shared" si="5"/>
        <v>2687.3787906066536</v>
      </c>
      <c r="AH17" s="912">
        <f t="shared" si="5"/>
        <v>2687.3787906066536</v>
      </c>
      <c r="AI17" s="912">
        <f t="shared" si="5"/>
        <v>2687.3787906066536</v>
      </c>
      <c r="AJ17" s="912">
        <f t="shared" si="5"/>
        <v>2687.3787906066536</v>
      </c>
      <c r="AK17" s="912">
        <f t="shared" si="5"/>
        <v>2687.3787906066536</v>
      </c>
      <c r="AL17" s="912">
        <f t="shared" si="5"/>
        <v>2687.3787906066536</v>
      </c>
      <c r="AM17" s="912">
        <f t="shared" si="5"/>
        <v>2687.3787906066536</v>
      </c>
      <c r="AN17" s="912">
        <f t="shared" si="5"/>
        <v>2687.3787906066536</v>
      </c>
    </row>
    <row r="18" spans="2:40" x14ac:dyDescent="0.25">
      <c r="C18" s="2"/>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1"/>
      <c r="AI18" s="911"/>
      <c r="AJ18" s="911"/>
      <c r="AK18" s="911"/>
      <c r="AL18" s="911"/>
      <c r="AM18" s="911"/>
      <c r="AN18" s="911"/>
    </row>
    <row r="19" spans="2:40" x14ac:dyDescent="0.25">
      <c r="B19" s="808" t="s">
        <v>969</v>
      </c>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row>
    <row r="20" spans="2:40" x14ac:dyDescent="0.25">
      <c r="B20" s="1" t="s">
        <v>777</v>
      </c>
      <c r="C20" s="652" t="s">
        <v>971</v>
      </c>
      <c r="D20" s="834"/>
      <c r="E20" s="834">
        <f>'Demand Forecast'!G45</f>
        <v>0</v>
      </c>
      <c r="F20" s="834">
        <f>'Demand Forecast'!H45</f>
        <v>0</v>
      </c>
      <c r="G20" s="834">
        <f>'Demand Forecast'!I45</f>
        <v>0</v>
      </c>
      <c r="H20" s="834">
        <f>'Demand Forecast'!J45</f>
        <v>0</v>
      </c>
      <c r="I20" s="834">
        <f>'Demand Forecast'!K45</f>
        <v>0</v>
      </c>
      <c r="J20" s="834">
        <f>'Demand Forecast'!L45</f>
        <v>0</v>
      </c>
      <c r="K20" s="834">
        <f>'Demand Forecast'!M45</f>
        <v>55751.038309564501</v>
      </c>
      <c r="L20" s="834">
        <f>'Demand Forecast'!N45</f>
        <v>56308.548692660181</v>
      </c>
      <c r="M20" s="834">
        <f>'Demand Forecast'!O45</f>
        <v>56871.634179586785</v>
      </c>
      <c r="N20" s="834">
        <f>'Demand Forecast'!P45</f>
        <v>57440.350521382643</v>
      </c>
      <c r="O20" s="834">
        <f>'Demand Forecast'!Q45</f>
        <v>58014.754026596464</v>
      </c>
      <c r="P20" s="834">
        <f>'Demand Forecast'!R45</f>
        <v>58594.901566862427</v>
      </c>
      <c r="Q20" s="834">
        <f>'Demand Forecast'!S45</f>
        <v>59180.850582531057</v>
      </c>
      <c r="R20" s="834">
        <f>'Demand Forecast'!T45</f>
        <v>59772.659088356377</v>
      </c>
      <c r="S20" s="834">
        <f>'Demand Forecast'!U45</f>
        <v>60370.385679239916</v>
      </c>
      <c r="T20" s="834">
        <f>'Demand Forecast'!V45</f>
        <v>60974.089536032327</v>
      </c>
      <c r="U20" s="834">
        <f>'Demand Forecast'!W45</f>
        <v>61583.830431392664</v>
      </c>
      <c r="V20" s="834">
        <f>'Demand Forecast'!X45</f>
        <v>62199.668735706589</v>
      </c>
      <c r="W20" s="834">
        <f>'Demand Forecast'!Y45</f>
        <v>62821.665423063641</v>
      </c>
      <c r="X20" s="834">
        <f>'Demand Forecast'!Z45</f>
        <v>63449.882077294285</v>
      </c>
      <c r="Y20" s="834">
        <f>'Demand Forecast'!AA45</f>
        <v>64084.380898067233</v>
      </c>
      <c r="Z20" s="834">
        <f>'Demand Forecast'!AB45</f>
        <v>64725.224707047906</v>
      </c>
      <c r="AA20" s="834">
        <f>'Demand Forecast'!AC45</f>
        <v>65372.47695411837</v>
      </c>
      <c r="AB20" s="834">
        <f>'Demand Forecast'!AD45</f>
        <v>66026.201723659571</v>
      </c>
      <c r="AC20" s="834">
        <f>'Demand Forecast'!AE45</f>
        <v>66686.463740896186</v>
      </c>
      <c r="AD20" s="834">
        <f>'Demand Forecast'!AF45</f>
        <v>67353.328378305145</v>
      </c>
      <c r="AE20" s="834">
        <f>'Demand Forecast'!AG45</f>
        <v>68026.86166208818</v>
      </c>
      <c r="AF20" s="834">
        <f>'Demand Forecast'!AH45</f>
        <v>68707.130278709068</v>
      </c>
      <c r="AG20" s="834">
        <f>'Demand Forecast'!AI45</f>
        <v>69394.201581496163</v>
      </c>
      <c r="AH20" s="834">
        <f>'Demand Forecast'!AJ45</f>
        <v>70088.143597311122</v>
      </c>
      <c r="AI20" s="834">
        <f>'Demand Forecast'!AK45</f>
        <v>70789.025033284226</v>
      </c>
      <c r="AJ20" s="834">
        <f>'Demand Forecast'!AL45</f>
        <v>71496.915283617069</v>
      </c>
      <c r="AK20" s="834">
        <f>'Demand Forecast'!AM45</f>
        <v>72211.884436453256</v>
      </c>
      <c r="AL20" s="834">
        <f>'Demand Forecast'!AN45</f>
        <v>72934.003280817778</v>
      </c>
      <c r="AM20" s="834">
        <f>'Demand Forecast'!AO45</f>
        <v>73663.343313625941</v>
      </c>
      <c r="AN20" s="834">
        <f>'Demand Forecast'!AP45</f>
        <v>74399.976746762215</v>
      </c>
    </row>
    <row r="21" spans="2:40" x14ac:dyDescent="0.25">
      <c r="B21" s="640" t="s">
        <v>963</v>
      </c>
      <c r="C21" s="653" t="s">
        <v>967</v>
      </c>
      <c r="D21" s="1015">
        <f>AVERAGE(K21:AN21)</f>
        <v>32724212.786072884</v>
      </c>
      <c r="E21" s="912">
        <f t="shared" ref="E21:AN21" si="6">E20*$C$7</f>
        <v>0</v>
      </c>
      <c r="F21" s="912">
        <f t="shared" si="6"/>
        <v>0</v>
      </c>
      <c r="G21" s="912">
        <f t="shared" si="6"/>
        <v>0</v>
      </c>
      <c r="H21" s="912">
        <f t="shared" si="6"/>
        <v>0</v>
      </c>
      <c r="I21" s="912">
        <f t="shared" si="6"/>
        <v>0</v>
      </c>
      <c r="J21" s="912">
        <f t="shared" si="6"/>
        <v>0</v>
      </c>
      <c r="K21" s="912">
        <f t="shared" si="6"/>
        <v>28222781.222204868</v>
      </c>
      <c r="L21" s="912">
        <f t="shared" si="6"/>
        <v>28505009.034426935</v>
      </c>
      <c r="M21" s="912">
        <f t="shared" si="6"/>
        <v>28790059.124771204</v>
      </c>
      <c r="N21" s="912">
        <f t="shared" si="6"/>
        <v>29077959.716018911</v>
      </c>
      <c r="O21" s="912">
        <f t="shared" si="6"/>
        <v>29368739.313179098</v>
      </c>
      <c r="P21" s="912">
        <f t="shared" si="6"/>
        <v>29662426.706310887</v>
      </c>
      <c r="Q21" s="912">
        <f t="shared" si="6"/>
        <v>29959050.973374002</v>
      </c>
      <c r="R21" s="912">
        <f t="shared" si="6"/>
        <v>30258641.483107746</v>
      </c>
      <c r="S21" s="912">
        <f t="shared" si="6"/>
        <v>30561227.89793881</v>
      </c>
      <c r="T21" s="912">
        <f t="shared" si="6"/>
        <v>30866840.176918205</v>
      </c>
      <c r="U21" s="912">
        <f t="shared" si="6"/>
        <v>31175508.578687392</v>
      </c>
      <c r="V21" s="912">
        <f t="shared" si="6"/>
        <v>31487263.664474268</v>
      </c>
      <c r="W21" s="912">
        <f t="shared" si="6"/>
        <v>31802136.301119003</v>
      </c>
      <c r="X21" s="912">
        <f t="shared" si="6"/>
        <v>32120157.664130196</v>
      </c>
      <c r="Y21" s="912">
        <f t="shared" si="6"/>
        <v>32441359.240771499</v>
      </c>
      <c r="Z21" s="912">
        <f t="shared" si="6"/>
        <v>32765772.833179217</v>
      </c>
      <c r="AA21" s="912">
        <f t="shared" si="6"/>
        <v>33093430.561510999</v>
      </c>
      <c r="AB21" s="912">
        <f t="shared" si="6"/>
        <v>33424364.867126118</v>
      </c>
      <c r="AC21" s="912">
        <f t="shared" si="6"/>
        <v>33758608.515797392</v>
      </c>
      <c r="AD21" s="912">
        <f t="shared" si="6"/>
        <v>34096194.60095536</v>
      </c>
      <c r="AE21" s="912">
        <f t="shared" si="6"/>
        <v>34437156.546964906</v>
      </c>
      <c r="AF21" s="912">
        <f t="shared" si="6"/>
        <v>34781528.112434559</v>
      </c>
      <c r="AG21" s="912">
        <f t="shared" si="6"/>
        <v>35129343.393558905</v>
      </c>
      <c r="AH21" s="912">
        <f t="shared" si="6"/>
        <v>35480636.827494495</v>
      </c>
      <c r="AI21" s="912">
        <f t="shared" si="6"/>
        <v>35835443.195769437</v>
      </c>
      <c r="AJ21" s="912">
        <f t="shared" si="6"/>
        <v>36193797.627727129</v>
      </c>
      <c r="AK21" s="912">
        <f t="shared" si="6"/>
        <v>36555735.604004413</v>
      </c>
      <c r="AL21" s="912">
        <f t="shared" si="6"/>
        <v>36921292.960044451</v>
      </c>
      <c r="AM21" s="912">
        <f t="shared" si="6"/>
        <v>37290505.889644884</v>
      </c>
      <c r="AN21" s="912">
        <f t="shared" si="6"/>
        <v>37663410.948541343</v>
      </c>
    </row>
    <row r="22" spans="2:40" x14ac:dyDescent="0.25">
      <c r="B22" s="640"/>
      <c r="C22" s="653"/>
      <c r="D22" s="653"/>
      <c r="E22" s="912"/>
      <c r="F22" s="912"/>
      <c r="G22" s="912"/>
      <c r="H22" s="912"/>
      <c r="I22" s="912"/>
      <c r="J22" s="912"/>
      <c r="K22" s="912"/>
      <c r="L22" s="912"/>
      <c r="M22" s="912"/>
      <c r="N22" s="912"/>
      <c r="O22" s="912"/>
      <c r="P22" s="912"/>
      <c r="Q22" s="912"/>
      <c r="R22" s="912"/>
      <c r="S22" s="912"/>
      <c r="T22" s="912"/>
      <c r="U22" s="912"/>
      <c r="V22" s="912"/>
      <c r="W22" s="912"/>
      <c r="X22" s="912"/>
      <c r="Y22" s="912"/>
      <c r="Z22" s="912"/>
      <c r="AA22" s="912"/>
      <c r="AB22" s="912"/>
      <c r="AC22" s="912"/>
      <c r="AD22" s="912"/>
      <c r="AE22" s="912"/>
      <c r="AF22" s="912"/>
      <c r="AG22" s="912"/>
      <c r="AH22" s="912"/>
      <c r="AI22" s="912"/>
      <c r="AJ22" s="912"/>
      <c r="AK22" s="912"/>
      <c r="AL22" s="912"/>
      <c r="AM22" s="912"/>
    </row>
    <row r="23" spans="2:40" x14ac:dyDescent="0.25">
      <c r="B23" s="640"/>
      <c r="C23" s="653"/>
      <c r="D23" s="653"/>
      <c r="E23" s="792"/>
      <c r="F23" s="792"/>
      <c r="G23" s="792"/>
      <c r="H23" s="792"/>
      <c r="I23" s="792"/>
      <c r="J23" s="792"/>
      <c r="K23" s="792"/>
      <c r="L23" s="792"/>
      <c r="M23" s="792"/>
      <c r="N23" s="792"/>
      <c r="O23" s="792"/>
      <c r="P23" s="792"/>
      <c r="Q23" s="792"/>
      <c r="R23" s="792"/>
      <c r="S23" s="792"/>
      <c r="T23" s="792"/>
      <c r="U23" s="792"/>
      <c r="V23" s="792"/>
      <c r="W23" s="792"/>
      <c r="X23" s="792"/>
      <c r="Y23" s="792"/>
      <c r="Z23" s="792"/>
      <c r="AA23" s="792"/>
      <c r="AB23" s="792"/>
      <c r="AC23" s="792"/>
      <c r="AD23" s="792"/>
      <c r="AE23" s="792"/>
      <c r="AF23" s="792"/>
      <c r="AG23" s="792"/>
      <c r="AH23" s="792"/>
      <c r="AI23" s="792"/>
      <c r="AJ23" s="792"/>
      <c r="AK23" s="792"/>
      <c r="AL23" s="792"/>
      <c r="AM23" s="792"/>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N25"/>
  <sheetViews>
    <sheetView zoomScale="80" zoomScaleNormal="80" workbookViewId="0">
      <pane xSplit="3" ySplit="4" topLeftCell="D5" activePane="bottomRight" state="frozen"/>
      <selection pane="topRight" activeCell="D1" sqref="D1"/>
      <selection pane="bottomLeft" activeCell="A6" sqref="A6"/>
      <selection pane="bottomRight"/>
    </sheetView>
  </sheetViews>
  <sheetFormatPr defaultRowHeight="14.4" x14ac:dyDescent="0.25"/>
  <cols>
    <col min="1" max="1" width="2.109375" customWidth="1"/>
    <col min="2" max="2" width="43.44140625" customWidth="1"/>
    <col min="3" max="3" width="14" customWidth="1"/>
    <col min="4" max="4" width="11.44140625" customWidth="1"/>
    <col min="5" max="5" width="10.44140625" customWidth="1"/>
    <col min="6" max="37" width="9.88671875" bestFit="1" customWidth="1"/>
    <col min="38" max="38" width="9.88671875" customWidth="1"/>
  </cols>
  <sheetData>
    <row r="1" spans="1:40" ht="7.55" customHeight="1" x14ac:dyDescent="0.25"/>
    <row r="2" spans="1:40" ht="17.7" x14ac:dyDescent="0.3">
      <c r="A2" s="657"/>
      <c r="B2" s="765" t="s">
        <v>1010</v>
      </c>
    </row>
    <row r="3" spans="1:40" x14ac:dyDescent="0.25">
      <c r="C3" s="645" t="s">
        <v>544</v>
      </c>
      <c r="D3" s="645"/>
    </row>
    <row r="4" spans="1:40" x14ac:dyDescent="0.25">
      <c r="C4" s="648">
        <f>Assumptions!$D$10</f>
        <v>2018</v>
      </c>
      <c r="D4" s="672" t="s">
        <v>148</v>
      </c>
      <c r="E4" s="672">
        <v>2019</v>
      </c>
      <c r="F4" s="672">
        <f>E4+1</f>
        <v>2020</v>
      </c>
      <c r="G4" s="672">
        <f t="shared" ref="G4:AK4" si="0">F4+1</f>
        <v>2021</v>
      </c>
      <c r="H4" s="672">
        <f t="shared" si="0"/>
        <v>2022</v>
      </c>
      <c r="I4" s="672">
        <f t="shared" si="0"/>
        <v>2023</v>
      </c>
      <c r="J4" s="672">
        <f t="shared" si="0"/>
        <v>2024</v>
      </c>
      <c r="K4" s="672">
        <f t="shared" si="0"/>
        <v>2025</v>
      </c>
      <c r="L4" s="672">
        <f t="shared" si="0"/>
        <v>2026</v>
      </c>
      <c r="M4" s="672">
        <f t="shared" si="0"/>
        <v>2027</v>
      </c>
      <c r="N4" s="672">
        <f t="shared" si="0"/>
        <v>2028</v>
      </c>
      <c r="O4" s="672">
        <f t="shared" si="0"/>
        <v>2029</v>
      </c>
      <c r="P4" s="672">
        <f t="shared" si="0"/>
        <v>2030</v>
      </c>
      <c r="Q4" s="672">
        <f t="shared" si="0"/>
        <v>2031</v>
      </c>
      <c r="R4" s="672">
        <f t="shared" si="0"/>
        <v>2032</v>
      </c>
      <c r="S4" s="672">
        <f t="shared" si="0"/>
        <v>2033</v>
      </c>
      <c r="T4" s="672">
        <f t="shared" si="0"/>
        <v>2034</v>
      </c>
      <c r="U4" s="672">
        <f t="shared" si="0"/>
        <v>2035</v>
      </c>
      <c r="V4" s="672">
        <f t="shared" si="0"/>
        <v>2036</v>
      </c>
      <c r="W4" s="672">
        <f t="shared" si="0"/>
        <v>2037</v>
      </c>
      <c r="X4" s="672">
        <f t="shared" si="0"/>
        <v>2038</v>
      </c>
      <c r="Y4" s="672">
        <f t="shared" si="0"/>
        <v>2039</v>
      </c>
      <c r="Z4" s="672">
        <f t="shared" si="0"/>
        <v>2040</v>
      </c>
      <c r="AA4" s="672">
        <f t="shared" si="0"/>
        <v>2041</v>
      </c>
      <c r="AB4" s="672">
        <f t="shared" si="0"/>
        <v>2042</v>
      </c>
      <c r="AC4" s="672">
        <f t="shared" si="0"/>
        <v>2043</v>
      </c>
      <c r="AD4" s="672">
        <f t="shared" si="0"/>
        <v>2044</v>
      </c>
      <c r="AE4" s="672">
        <f t="shared" si="0"/>
        <v>2045</v>
      </c>
      <c r="AF4" s="672">
        <f t="shared" si="0"/>
        <v>2046</v>
      </c>
      <c r="AG4" s="672">
        <f t="shared" si="0"/>
        <v>2047</v>
      </c>
      <c r="AH4" s="672">
        <f t="shared" si="0"/>
        <v>2048</v>
      </c>
      <c r="AI4" s="672">
        <f t="shared" si="0"/>
        <v>2049</v>
      </c>
      <c r="AJ4" s="672">
        <f t="shared" si="0"/>
        <v>2050</v>
      </c>
      <c r="AK4" s="672">
        <f t="shared" si="0"/>
        <v>2051</v>
      </c>
      <c r="AL4" s="672">
        <f t="shared" ref="AL4" si="1">AK4+1</f>
        <v>2052</v>
      </c>
      <c r="AM4" s="672">
        <f t="shared" ref="AM4:AN4" si="2">AL4+1</f>
        <v>2053</v>
      </c>
      <c r="AN4" s="672">
        <f t="shared" si="2"/>
        <v>2054</v>
      </c>
    </row>
    <row r="5" spans="1:40" x14ac:dyDescent="0.25">
      <c r="B5" s="640"/>
      <c r="C5" s="643"/>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row>
    <row r="6" spans="1:40" x14ac:dyDescent="0.25">
      <c r="B6" s="1" t="s">
        <v>827</v>
      </c>
      <c r="C6" s="775">
        <f>Assumptions!$D$88</f>
        <v>1.68</v>
      </c>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row>
    <row r="7" spans="1:40" x14ac:dyDescent="0.25">
      <c r="B7" s="1" t="s">
        <v>726</v>
      </c>
      <c r="C7" s="775">
        <f>Assumptions!$D$89</f>
        <v>1</v>
      </c>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4"/>
      <c r="AM7" s="674"/>
      <c r="AN7" s="674"/>
    </row>
    <row r="8" spans="1:40" x14ac:dyDescent="0.25">
      <c r="B8" s="640"/>
      <c r="C8" s="643"/>
      <c r="D8" s="674"/>
      <c r="E8" s="674"/>
      <c r="F8" s="674"/>
      <c r="G8" s="674"/>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row>
    <row r="9" spans="1:40" x14ac:dyDescent="0.25">
      <c r="B9" s="774" t="s">
        <v>716</v>
      </c>
      <c r="C9" s="823">
        <f>Assumptions!$D$85</f>
        <v>16.100000000000001</v>
      </c>
    </row>
    <row r="10" spans="1:40" x14ac:dyDescent="0.25">
      <c r="B10" s="774" t="s">
        <v>718</v>
      </c>
      <c r="C10" s="823">
        <f>Assumptions!$D$87</f>
        <v>28.6</v>
      </c>
    </row>
    <row r="11" spans="1:40" s="657" customFormat="1" x14ac:dyDescent="0.25">
      <c r="B11" s="776"/>
      <c r="C11" s="771"/>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0"/>
      <c r="AL11" s="750"/>
      <c r="AM11" s="750"/>
      <c r="AN11" s="750"/>
    </row>
    <row r="12" spans="1:40" x14ac:dyDescent="0.25">
      <c r="B12" t="s">
        <v>735</v>
      </c>
    </row>
    <row r="13" spans="1:40" x14ac:dyDescent="0.25">
      <c r="B13" s="751" t="s">
        <v>826</v>
      </c>
      <c r="C13" s="2" t="s">
        <v>753</v>
      </c>
      <c r="D13" s="804"/>
      <c r="E13" s="804">
        <f>'Demand Forecast'!G23</f>
        <v>0</v>
      </c>
      <c r="F13" s="804">
        <f>'Demand Forecast'!H23</f>
        <v>0</v>
      </c>
      <c r="G13" s="804">
        <f>'Demand Forecast'!I23</f>
        <v>0</v>
      </c>
      <c r="H13" s="804">
        <f>'Demand Forecast'!J23</f>
        <v>0</v>
      </c>
      <c r="I13" s="804">
        <f>'Demand Forecast'!K23</f>
        <v>0</v>
      </c>
      <c r="J13" s="804">
        <f>'Demand Forecast'!L23</f>
        <v>0</v>
      </c>
      <c r="K13" s="804">
        <f>'Demand Forecast'!M23</f>
        <v>910.8</v>
      </c>
      <c r="L13" s="804">
        <f>'Demand Forecast'!N23</f>
        <v>913.27499999999998</v>
      </c>
      <c r="M13" s="804">
        <f>'Demand Forecast'!O23</f>
        <v>915.75</v>
      </c>
      <c r="N13" s="804">
        <f>'Demand Forecast'!P23</f>
        <v>918.22500000000002</v>
      </c>
      <c r="O13" s="804">
        <f>'Demand Forecast'!Q23</f>
        <v>920.7</v>
      </c>
      <c r="P13" s="804">
        <f>'Demand Forecast'!R23</f>
        <v>923.17499999999995</v>
      </c>
      <c r="Q13" s="804">
        <f>'Demand Forecast'!S23</f>
        <v>925.65</v>
      </c>
      <c r="R13" s="804">
        <f>'Demand Forecast'!T23</f>
        <v>928.125</v>
      </c>
      <c r="S13" s="804">
        <f>'Demand Forecast'!U23</f>
        <v>930.6</v>
      </c>
      <c r="T13" s="804">
        <f>'Demand Forecast'!V23</f>
        <v>933.07500000000005</v>
      </c>
      <c r="U13" s="804">
        <f>'Demand Forecast'!W23</f>
        <v>935.55</v>
      </c>
      <c r="V13" s="804">
        <f>'Demand Forecast'!X23</f>
        <v>938.02499999999998</v>
      </c>
      <c r="W13" s="804">
        <f>'Demand Forecast'!Y23</f>
        <v>940.5</v>
      </c>
      <c r="X13" s="804">
        <f>'Demand Forecast'!Z23</f>
        <v>942.97500000000002</v>
      </c>
      <c r="Y13" s="804">
        <f>'Demand Forecast'!AA23</f>
        <v>945.45</v>
      </c>
      <c r="Z13" s="804">
        <f>'Demand Forecast'!AB23</f>
        <v>947.92499999999995</v>
      </c>
      <c r="AA13" s="804">
        <f>'Demand Forecast'!AC23</f>
        <v>950.4</v>
      </c>
      <c r="AB13" s="804">
        <f>'Demand Forecast'!AD23</f>
        <v>952.875</v>
      </c>
      <c r="AC13" s="804">
        <f>'Demand Forecast'!AE23</f>
        <v>955.35</v>
      </c>
      <c r="AD13" s="804">
        <f>'Demand Forecast'!AF23</f>
        <v>957.82500000000005</v>
      </c>
      <c r="AE13" s="804">
        <f>'Demand Forecast'!AG23</f>
        <v>960.3</v>
      </c>
      <c r="AF13" s="804">
        <f>'Demand Forecast'!AH23</f>
        <v>962.77499999999998</v>
      </c>
      <c r="AG13" s="804">
        <f>'Demand Forecast'!AI23</f>
        <v>965.25</v>
      </c>
      <c r="AH13" s="804">
        <f>'Demand Forecast'!AJ23</f>
        <v>967.72500000000002</v>
      </c>
      <c r="AI13" s="804">
        <f>'Demand Forecast'!AK23</f>
        <v>970.2</v>
      </c>
      <c r="AJ13" s="804">
        <f>'Demand Forecast'!AL23</f>
        <v>972.67499999999995</v>
      </c>
      <c r="AK13" s="804">
        <f>'Demand Forecast'!AM23</f>
        <v>975.15</v>
      </c>
      <c r="AL13" s="804">
        <f>'Demand Forecast'!AN23</f>
        <v>977.625</v>
      </c>
      <c r="AM13" s="804">
        <f>'Demand Forecast'!AO23</f>
        <v>980.1</v>
      </c>
      <c r="AN13" s="804">
        <f>'Demand Forecast'!AP23</f>
        <v>982.57500000000005</v>
      </c>
    </row>
    <row r="14" spans="1:40" x14ac:dyDescent="0.25">
      <c r="B14" s="752" t="s">
        <v>683</v>
      </c>
      <c r="C14" s="749" t="s">
        <v>753</v>
      </c>
      <c r="D14" s="806"/>
      <c r="E14" s="806">
        <f>'Demand Forecast'!G24</f>
        <v>0</v>
      </c>
      <c r="F14" s="806">
        <f>'Demand Forecast'!H24</f>
        <v>0</v>
      </c>
      <c r="G14" s="806">
        <f>'Demand Forecast'!I24</f>
        <v>0</v>
      </c>
      <c r="H14" s="806">
        <f>'Demand Forecast'!J24</f>
        <v>0</v>
      </c>
      <c r="I14" s="806">
        <f>'Demand Forecast'!K24</f>
        <v>0</v>
      </c>
      <c r="J14" s="806">
        <f>'Demand Forecast'!L24</f>
        <v>0</v>
      </c>
      <c r="K14" s="806">
        <f>'Demand Forecast'!M24</f>
        <v>9.1999999999999993</v>
      </c>
      <c r="L14" s="806">
        <f>'Demand Forecast'!N24</f>
        <v>9.2249999999999996</v>
      </c>
      <c r="M14" s="806">
        <f>'Demand Forecast'!O24</f>
        <v>9.25</v>
      </c>
      <c r="N14" s="806">
        <f>'Demand Forecast'!P24</f>
        <v>9.2750000000000004</v>
      </c>
      <c r="O14" s="806">
        <f>'Demand Forecast'!Q24</f>
        <v>9.3000000000000007</v>
      </c>
      <c r="P14" s="806">
        <f>'Demand Forecast'!R24</f>
        <v>9.3249999999999993</v>
      </c>
      <c r="Q14" s="806">
        <f>'Demand Forecast'!S24</f>
        <v>9.35</v>
      </c>
      <c r="R14" s="806">
        <f>'Demand Forecast'!T24</f>
        <v>9.375</v>
      </c>
      <c r="S14" s="806">
        <f>'Demand Forecast'!U24</f>
        <v>9.4</v>
      </c>
      <c r="T14" s="806">
        <f>'Demand Forecast'!V24</f>
        <v>9.4250000000000007</v>
      </c>
      <c r="U14" s="806">
        <f>'Demand Forecast'!W24</f>
        <v>9.4499999999999993</v>
      </c>
      <c r="V14" s="806">
        <f>'Demand Forecast'!X24</f>
        <v>9.4749999999999996</v>
      </c>
      <c r="W14" s="806">
        <f>'Demand Forecast'!Y24</f>
        <v>9.5</v>
      </c>
      <c r="X14" s="806">
        <f>'Demand Forecast'!Z24</f>
        <v>9.5250000000000004</v>
      </c>
      <c r="Y14" s="806">
        <f>'Demand Forecast'!AA24</f>
        <v>9.5500000000000007</v>
      </c>
      <c r="Z14" s="806">
        <f>'Demand Forecast'!AB24</f>
        <v>9.5749999999999993</v>
      </c>
      <c r="AA14" s="806">
        <f>'Demand Forecast'!AC24</f>
        <v>9.6</v>
      </c>
      <c r="AB14" s="806">
        <f>'Demand Forecast'!AD24</f>
        <v>9.625</v>
      </c>
      <c r="AC14" s="806">
        <f>'Demand Forecast'!AE24</f>
        <v>9.65</v>
      </c>
      <c r="AD14" s="806">
        <f>'Demand Forecast'!AF24</f>
        <v>9.6750000000000007</v>
      </c>
      <c r="AE14" s="806">
        <f>'Demand Forecast'!AG24</f>
        <v>9.6999999999999993</v>
      </c>
      <c r="AF14" s="806">
        <f>'Demand Forecast'!AH24</f>
        <v>9.7249999999999996</v>
      </c>
      <c r="AG14" s="806">
        <f>'Demand Forecast'!AI24</f>
        <v>9.75</v>
      </c>
      <c r="AH14" s="806">
        <f>'Demand Forecast'!AJ24</f>
        <v>9.7750000000000004</v>
      </c>
      <c r="AI14" s="806">
        <f>'Demand Forecast'!AK24</f>
        <v>9.8000000000000007</v>
      </c>
      <c r="AJ14" s="806">
        <f>'Demand Forecast'!AL24</f>
        <v>9.8249999999999993</v>
      </c>
      <c r="AK14" s="806">
        <f>'Demand Forecast'!AM24</f>
        <v>9.85</v>
      </c>
      <c r="AL14" s="806">
        <f>'Demand Forecast'!AN24</f>
        <v>9.875</v>
      </c>
      <c r="AM14" s="806">
        <f>'Demand Forecast'!AO24</f>
        <v>9.9</v>
      </c>
      <c r="AN14" s="806">
        <f>'Demand Forecast'!AP24</f>
        <v>9.9250000000000007</v>
      </c>
    </row>
    <row r="15" spans="1:40" x14ac:dyDescent="0.25">
      <c r="B15" s="644" t="s">
        <v>393</v>
      </c>
      <c r="C15" s="2" t="s">
        <v>753</v>
      </c>
      <c r="D15" s="821"/>
      <c r="E15" s="821">
        <f>SUM(E13:E14)</f>
        <v>0</v>
      </c>
      <c r="F15" s="821">
        <f t="shared" ref="F15:AK15" si="3">SUM(F13:F14)</f>
        <v>0</v>
      </c>
      <c r="G15" s="821">
        <f t="shared" si="3"/>
        <v>0</v>
      </c>
      <c r="H15" s="821">
        <f t="shared" si="3"/>
        <v>0</v>
      </c>
      <c r="I15" s="821">
        <f t="shared" si="3"/>
        <v>0</v>
      </c>
      <c r="J15" s="821">
        <f t="shared" si="3"/>
        <v>0</v>
      </c>
      <c r="K15" s="821">
        <f t="shared" si="3"/>
        <v>920</v>
      </c>
      <c r="L15" s="821">
        <f t="shared" si="3"/>
        <v>922.5</v>
      </c>
      <c r="M15" s="821">
        <f t="shared" si="3"/>
        <v>925</v>
      </c>
      <c r="N15" s="821">
        <f t="shared" si="3"/>
        <v>927.5</v>
      </c>
      <c r="O15" s="821">
        <f t="shared" si="3"/>
        <v>930</v>
      </c>
      <c r="P15" s="821">
        <f t="shared" si="3"/>
        <v>932.5</v>
      </c>
      <c r="Q15" s="821">
        <f t="shared" si="3"/>
        <v>935</v>
      </c>
      <c r="R15" s="821">
        <f t="shared" si="3"/>
        <v>937.5</v>
      </c>
      <c r="S15" s="821">
        <f t="shared" si="3"/>
        <v>940</v>
      </c>
      <c r="T15" s="821">
        <f t="shared" si="3"/>
        <v>942.5</v>
      </c>
      <c r="U15" s="821">
        <f t="shared" si="3"/>
        <v>945</v>
      </c>
      <c r="V15" s="821">
        <f t="shared" si="3"/>
        <v>947.5</v>
      </c>
      <c r="W15" s="821">
        <f t="shared" si="3"/>
        <v>950</v>
      </c>
      <c r="X15" s="821">
        <f t="shared" si="3"/>
        <v>952.5</v>
      </c>
      <c r="Y15" s="821">
        <f t="shared" si="3"/>
        <v>955</v>
      </c>
      <c r="Z15" s="821">
        <f t="shared" si="3"/>
        <v>957.5</v>
      </c>
      <c r="AA15" s="821">
        <f t="shared" si="3"/>
        <v>960</v>
      </c>
      <c r="AB15" s="821">
        <f t="shared" si="3"/>
        <v>962.5</v>
      </c>
      <c r="AC15" s="821">
        <f t="shared" si="3"/>
        <v>965</v>
      </c>
      <c r="AD15" s="821">
        <f t="shared" si="3"/>
        <v>967.5</v>
      </c>
      <c r="AE15" s="821">
        <f t="shared" si="3"/>
        <v>970</v>
      </c>
      <c r="AF15" s="821">
        <f t="shared" si="3"/>
        <v>972.5</v>
      </c>
      <c r="AG15" s="821">
        <f t="shared" si="3"/>
        <v>975</v>
      </c>
      <c r="AH15" s="821">
        <f t="shared" si="3"/>
        <v>977.5</v>
      </c>
      <c r="AI15" s="821">
        <f t="shared" si="3"/>
        <v>980</v>
      </c>
      <c r="AJ15" s="821">
        <f t="shared" si="3"/>
        <v>982.5</v>
      </c>
      <c r="AK15" s="821">
        <f t="shared" si="3"/>
        <v>985</v>
      </c>
      <c r="AL15" s="821">
        <f t="shared" ref="AL15:AM15" si="4">SUM(AL13:AL14)</f>
        <v>987.5</v>
      </c>
      <c r="AM15" s="821">
        <f t="shared" si="4"/>
        <v>990</v>
      </c>
      <c r="AN15" s="821">
        <f t="shared" ref="AN15" si="5">SUM(AN13:AN14)</f>
        <v>992.5</v>
      </c>
    </row>
    <row r="16" spans="1:40" x14ac:dyDescent="0.25">
      <c r="B16" s="751"/>
      <c r="C16" s="2"/>
      <c r="D16" s="787"/>
      <c r="E16" s="787"/>
      <c r="F16" s="787"/>
      <c r="G16" s="787"/>
      <c r="H16" s="787"/>
      <c r="I16" s="787"/>
      <c r="J16" s="787"/>
      <c r="K16" s="787"/>
      <c r="L16" s="787"/>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7"/>
      <c r="AK16" s="787"/>
      <c r="AL16" s="787"/>
      <c r="AM16" s="787"/>
      <c r="AN16" s="787"/>
    </row>
    <row r="17" spans="2:40" x14ac:dyDescent="0.25">
      <c r="B17" s="4" t="s">
        <v>737</v>
      </c>
      <c r="C17" s="2"/>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87"/>
      <c r="AM17" s="787"/>
      <c r="AN17" s="787"/>
    </row>
    <row r="18" spans="2:40" x14ac:dyDescent="0.25">
      <c r="B18" s="751" t="s">
        <v>826</v>
      </c>
      <c r="C18" s="2" t="s">
        <v>753</v>
      </c>
      <c r="D18" s="804"/>
      <c r="E18" s="804">
        <f>E13*$C$6</f>
        <v>0</v>
      </c>
      <c r="F18" s="804">
        <f t="shared" ref="F18:AK18" si="6">F13*$C$6</f>
        <v>0</v>
      </c>
      <c r="G18" s="804">
        <f t="shared" si="6"/>
        <v>0</v>
      </c>
      <c r="H18" s="804">
        <f t="shared" si="6"/>
        <v>0</v>
      </c>
      <c r="I18" s="804">
        <f t="shared" si="6"/>
        <v>0</v>
      </c>
      <c r="J18" s="804">
        <f t="shared" si="6"/>
        <v>0</v>
      </c>
      <c r="K18" s="804">
        <f t="shared" si="6"/>
        <v>1530.1439999999998</v>
      </c>
      <c r="L18" s="804">
        <f t="shared" si="6"/>
        <v>1534.3019999999999</v>
      </c>
      <c r="M18" s="804">
        <f t="shared" si="6"/>
        <v>1538.46</v>
      </c>
      <c r="N18" s="804">
        <f t="shared" si="6"/>
        <v>1542.6179999999999</v>
      </c>
      <c r="O18" s="804">
        <f t="shared" si="6"/>
        <v>1546.7760000000001</v>
      </c>
      <c r="P18" s="804">
        <f t="shared" si="6"/>
        <v>1550.934</v>
      </c>
      <c r="Q18" s="804">
        <f t="shared" si="6"/>
        <v>1555.0919999999999</v>
      </c>
      <c r="R18" s="804">
        <f t="shared" si="6"/>
        <v>1559.25</v>
      </c>
      <c r="S18" s="804">
        <f t="shared" si="6"/>
        <v>1563.4079999999999</v>
      </c>
      <c r="T18" s="804">
        <f t="shared" si="6"/>
        <v>1567.566</v>
      </c>
      <c r="U18" s="804">
        <f t="shared" si="6"/>
        <v>1571.7239999999999</v>
      </c>
      <c r="V18" s="804">
        <f t="shared" si="6"/>
        <v>1575.8819999999998</v>
      </c>
      <c r="W18" s="804">
        <f t="shared" si="6"/>
        <v>1580.04</v>
      </c>
      <c r="X18" s="804">
        <f t="shared" si="6"/>
        <v>1584.1980000000001</v>
      </c>
      <c r="Y18" s="804">
        <f t="shared" si="6"/>
        <v>1588.356</v>
      </c>
      <c r="Z18" s="804">
        <f t="shared" si="6"/>
        <v>1592.5139999999999</v>
      </c>
      <c r="AA18" s="804">
        <f t="shared" si="6"/>
        <v>1596.6719999999998</v>
      </c>
      <c r="AB18" s="804">
        <f t="shared" si="6"/>
        <v>1600.83</v>
      </c>
      <c r="AC18" s="804">
        <f t="shared" si="6"/>
        <v>1604.9880000000001</v>
      </c>
      <c r="AD18" s="804">
        <f t="shared" si="6"/>
        <v>1609.146</v>
      </c>
      <c r="AE18" s="804">
        <f t="shared" si="6"/>
        <v>1613.3039999999999</v>
      </c>
      <c r="AF18" s="804">
        <f t="shared" si="6"/>
        <v>1617.462</v>
      </c>
      <c r="AG18" s="804">
        <f t="shared" si="6"/>
        <v>1621.62</v>
      </c>
      <c r="AH18" s="804">
        <f t="shared" si="6"/>
        <v>1625.778</v>
      </c>
      <c r="AI18" s="804">
        <f t="shared" si="6"/>
        <v>1629.9359999999999</v>
      </c>
      <c r="AJ18" s="804">
        <f t="shared" si="6"/>
        <v>1634.0939999999998</v>
      </c>
      <c r="AK18" s="804">
        <f t="shared" si="6"/>
        <v>1638.252</v>
      </c>
      <c r="AL18" s="804">
        <f t="shared" ref="AL18:AM18" si="7">AL13*$C$6</f>
        <v>1642.4099999999999</v>
      </c>
      <c r="AM18" s="804">
        <f t="shared" si="7"/>
        <v>1646.568</v>
      </c>
      <c r="AN18" s="804">
        <f t="shared" ref="AN18" si="8">AN13*$C$6</f>
        <v>1650.7260000000001</v>
      </c>
    </row>
    <row r="19" spans="2:40" x14ac:dyDescent="0.25">
      <c r="B19" s="752" t="s">
        <v>683</v>
      </c>
      <c r="C19" s="749" t="s">
        <v>753</v>
      </c>
      <c r="D19" s="806"/>
      <c r="E19" s="806">
        <f>E14*$C$7</f>
        <v>0</v>
      </c>
      <c r="F19" s="806">
        <f t="shared" ref="F19:AK19" si="9">F14*$C$7</f>
        <v>0</v>
      </c>
      <c r="G19" s="806">
        <f t="shared" si="9"/>
        <v>0</v>
      </c>
      <c r="H19" s="806">
        <f t="shared" si="9"/>
        <v>0</v>
      </c>
      <c r="I19" s="806">
        <f t="shared" si="9"/>
        <v>0</v>
      </c>
      <c r="J19" s="806">
        <f t="shared" si="9"/>
        <v>0</v>
      </c>
      <c r="K19" s="806">
        <f t="shared" si="9"/>
        <v>9.1999999999999993</v>
      </c>
      <c r="L19" s="806">
        <f t="shared" si="9"/>
        <v>9.2249999999999996</v>
      </c>
      <c r="M19" s="806">
        <f t="shared" si="9"/>
        <v>9.25</v>
      </c>
      <c r="N19" s="806">
        <f t="shared" si="9"/>
        <v>9.2750000000000004</v>
      </c>
      <c r="O19" s="806">
        <f t="shared" si="9"/>
        <v>9.3000000000000007</v>
      </c>
      <c r="P19" s="806">
        <f t="shared" si="9"/>
        <v>9.3249999999999993</v>
      </c>
      <c r="Q19" s="806">
        <f t="shared" si="9"/>
        <v>9.35</v>
      </c>
      <c r="R19" s="806">
        <f t="shared" si="9"/>
        <v>9.375</v>
      </c>
      <c r="S19" s="806">
        <f t="shared" si="9"/>
        <v>9.4</v>
      </c>
      <c r="T19" s="806">
        <f t="shared" si="9"/>
        <v>9.4250000000000007</v>
      </c>
      <c r="U19" s="806">
        <f t="shared" si="9"/>
        <v>9.4499999999999993</v>
      </c>
      <c r="V19" s="806">
        <f t="shared" si="9"/>
        <v>9.4749999999999996</v>
      </c>
      <c r="W19" s="806">
        <f t="shared" si="9"/>
        <v>9.5</v>
      </c>
      <c r="X19" s="806">
        <f t="shared" si="9"/>
        <v>9.5250000000000004</v>
      </c>
      <c r="Y19" s="806">
        <f t="shared" si="9"/>
        <v>9.5500000000000007</v>
      </c>
      <c r="Z19" s="806">
        <f t="shared" si="9"/>
        <v>9.5749999999999993</v>
      </c>
      <c r="AA19" s="806">
        <f t="shared" si="9"/>
        <v>9.6</v>
      </c>
      <c r="AB19" s="806">
        <f t="shared" si="9"/>
        <v>9.625</v>
      </c>
      <c r="AC19" s="806">
        <f t="shared" si="9"/>
        <v>9.65</v>
      </c>
      <c r="AD19" s="806">
        <f t="shared" si="9"/>
        <v>9.6750000000000007</v>
      </c>
      <c r="AE19" s="806">
        <f t="shared" si="9"/>
        <v>9.6999999999999993</v>
      </c>
      <c r="AF19" s="806">
        <f t="shared" si="9"/>
        <v>9.7249999999999996</v>
      </c>
      <c r="AG19" s="806">
        <f t="shared" si="9"/>
        <v>9.75</v>
      </c>
      <c r="AH19" s="806">
        <f t="shared" si="9"/>
        <v>9.7750000000000004</v>
      </c>
      <c r="AI19" s="806">
        <f t="shared" si="9"/>
        <v>9.8000000000000007</v>
      </c>
      <c r="AJ19" s="806">
        <f t="shared" si="9"/>
        <v>9.8249999999999993</v>
      </c>
      <c r="AK19" s="806">
        <f t="shared" si="9"/>
        <v>9.85</v>
      </c>
      <c r="AL19" s="806">
        <f t="shared" ref="AL19:AM19" si="10">AL14*$C$7</f>
        <v>9.875</v>
      </c>
      <c r="AM19" s="806">
        <f t="shared" si="10"/>
        <v>9.9</v>
      </c>
      <c r="AN19" s="806">
        <f t="shared" ref="AN19" si="11">AN14*$C$7</f>
        <v>9.9250000000000007</v>
      </c>
    </row>
    <row r="20" spans="2:40" x14ac:dyDescent="0.25">
      <c r="B20" s="644" t="s">
        <v>393</v>
      </c>
      <c r="C20" s="2" t="s">
        <v>753</v>
      </c>
      <c r="D20" s="821"/>
      <c r="E20" s="821">
        <f>SUM(E18:E19)</f>
        <v>0</v>
      </c>
      <c r="F20" s="821">
        <f t="shared" ref="F20" si="12">SUM(F18:F19)</f>
        <v>0</v>
      </c>
      <c r="G20" s="821">
        <f t="shared" ref="G20" si="13">SUM(G18:G19)</f>
        <v>0</v>
      </c>
      <c r="H20" s="821">
        <f t="shared" ref="H20" si="14">SUM(H18:H19)</f>
        <v>0</v>
      </c>
      <c r="I20" s="821">
        <f t="shared" ref="I20" si="15">SUM(I18:I19)</f>
        <v>0</v>
      </c>
      <c r="J20" s="821">
        <f t="shared" ref="J20" si="16">SUM(J18:J19)</f>
        <v>0</v>
      </c>
      <c r="K20" s="821">
        <f t="shared" ref="K20" si="17">SUM(K18:K19)</f>
        <v>1539.3439999999998</v>
      </c>
      <c r="L20" s="821">
        <f t="shared" ref="L20" si="18">SUM(L18:L19)</f>
        <v>1543.5269999999998</v>
      </c>
      <c r="M20" s="821">
        <f t="shared" ref="M20" si="19">SUM(M18:M19)</f>
        <v>1547.71</v>
      </c>
      <c r="N20" s="821">
        <f t="shared" ref="N20" si="20">SUM(N18:N19)</f>
        <v>1551.893</v>
      </c>
      <c r="O20" s="821">
        <f t="shared" ref="O20" si="21">SUM(O18:O19)</f>
        <v>1556.076</v>
      </c>
      <c r="P20" s="821">
        <f t="shared" ref="P20" si="22">SUM(P18:P19)</f>
        <v>1560.259</v>
      </c>
      <c r="Q20" s="821">
        <f t="shared" ref="Q20" si="23">SUM(Q18:Q19)</f>
        <v>1564.4419999999998</v>
      </c>
      <c r="R20" s="821">
        <f t="shared" ref="R20" si="24">SUM(R18:R19)</f>
        <v>1568.625</v>
      </c>
      <c r="S20" s="821">
        <f t="shared" ref="S20" si="25">SUM(S18:S19)</f>
        <v>1572.808</v>
      </c>
      <c r="T20" s="821">
        <f t="shared" ref="T20" si="26">SUM(T18:T19)</f>
        <v>1576.991</v>
      </c>
      <c r="U20" s="821">
        <f t="shared" ref="U20" si="27">SUM(U18:U19)</f>
        <v>1581.174</v>
      </c>
      <c r="V20" s="821">
        <f t="shared" ref="V20" si="28">SUM(V18:V19)</f>
        <v>1585.3569999999997</v>
      </c>
      <c r="W20" s="821">
        <f t="shared" ref="W20" si="29">SUM(W18:W19)</f>
        <v>1589.54</v>
      </c>
      <c r="X20" s="821">
        <f t="shared" ref="X20" si="30">SUM(X18:X19)</f>
        <v>1593.7230000000002</v>
      </c>
      <c r="Y20" s="821">
        <f t="shared" ref="Y20" si="31">SUM(Y18:Y19)</f>
        <v>1597.9059999999999</v>
      </c>
      <c r="Z20" s="821">
        <f t="shared" ref="Z20" si="32">SUM(Z18:Z19)</f>
        <v>1602.0889999999999</v>
      </c>
      <c r="AA20" s="821">
        <f t="shared" ref="AA20" si="33">SUM(AA18:AA19)</f>
        <v>1606.2719999999997</v>
      </c>
      <c r="AB20" s="821">
        <f t="shared" ref="AB20" si="34">SUM(AB18:AB19)</f>
        <v>1610.4549999999999</v>
      </c>
      <c r="AC20" s="821">
        <f t="shared" ref="AC20" si="35">SUM(AC18:AC19)</f>
        <v>1614.6380000000001</v>
      </c>
      <c r="AD20" s="821">
        <f t="shared" ref="AD20" si="36">SUM(AD18:AD19)</f>
        <v>1618.8209999999999</v>
      </c>
      <c r="AE20" s="821">
        <f t="shared" ref="AE20" si="37">SUM(AE18:AE19)</f>
        <v>1623.0039999999999</v>
      </c>
      <c r="AF20" s="821">
        <f t="shared" ref="AF20" si="38">SUM(AF18:AF19)</f>
        <v>1627.1869999999999</v>
      </c>
      <c r="AG20" s="821">
        <f t="shared" ref="AG20" si="39">SUM(AG18:AG19)</f>
        <v>1631.37</v>
      </c>
      <c r="AH20" s="821">
        <f t="shared" ref="AH20" si="40">SUM(AH18:AH19)</f>
        <v>1635.5530000000001</v>
      </c>
      <c r="AI20" s="821">
        <f t="shared" ref="AI20" si="41">SUM(AI18:AI19)</f>
        <v>1639.7359999999999</v>
      </c>
      <c r="AJ20" s="821">
        <f t="shared" ref="AJ20" si="42">SUM(AJ18:AJ19)</f>
        <v>1643.9189999999999</v>
      </c>
      <c r="AK20" s="821">
        <f t="shared" ref="AK20:AM20" si="43">SUM(AK18:AK19)</f>
        <v>1648.1019999999999</v>
      </c>
      <c r="AL20" s="821">
        <f t="shared" si="43"/>
        <v>1652.2849999999999</v>
      </c>
      <c r="AM20" s="821">
        <f t="shared" si="43"/>
        <v>1656.4680000000001</v>
      </c>
      <c r="AN20" s="821">
        <f t="shared" ref="AN20" si="44">SUM(AN18:AN19)</f>
        <v>1660.6510000000001</v>
      </c>
    </row>
    <row r="21" spans="2:40" x14ac:dyDescent="0.25">
      <c r="B21" s="751"/>
      <c r="C21" s="2"/>
      <c r="D21" s="787"/>
      <c r="E21" s="787"/>
      <c r="F21" s="787"/>
      <c r="G21" s="787"/>
      <c r="H21" s="787"/>
      <c r="I21" s="787"/>
      <c r="J21" s="787"/>
      <c r="K21" s="787"/>
      <c r="L21" s="787"/>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7"/>
      <c r="AL21" s="787"/>
      <c r="AM21" s="787"/>
      <c r="AN21" s="787"/>
    </row>
    <row r="22" spans="2:40" x14ac:dyDescent="0.25">
      <c r="B22" s="4" t="s">
        <v>738</v>
      </c>
      <c r="C22" s="2"/>
      <c r="D22" s="787"/>
      <c r="E22" s="787"/>
      <c r="F22" s="787"/>
      <c r="G22" s="787"/>
      <c r="H22" s="787"/>
      <c r="I22" s="787"/>
      <c r="J22" s="787"/>
      <c r="K22" s="787"/>
      <c r="L22" s="787"/>
      <c r="M22" s="787"/>
      <c r="N22" s="787"/>
      <c r="O22" s="787"/>
      <c r="P22" s="787"/>
      <c r="Q22" s="787"/>
      <c r="R22" s="787"/>
      <c r="S22" s="787"/>
      <c r="T22" s="787"/>
      <c r="U22" s="787"/>
      <c r="V22" s="787"/>
      <c r="W22" s="787"/>
      <c r="X22" s="787"/>
      <c r="Y22" s="787"/>
      <c r="Z22" s="787"/>
      <c r="AA22" s="787"/>
      <c r="AB22" s="787"/>
      <c r="AC22" s="787"/>
      <c r="AD22" s="787"/>
      <c r="AE22" s="787"/>
      <c r="AF22" s="787"/>
      <c r="AG22" s="787"/>
      <c r="AH22" s="787"/>
      <c r="AI22" s="787"/>
      <c r="AJ22" s="787"/>
      <c r="AK22" s="787"/>
      <c r="AL22" s="787"/>
      <c r="AM22" s="787"/>
      <c r="AN22" s="787"/>
    </row>
    <row r="23" spans="2:40" x14ac:dyDescent="0.25">
      <c r="B23" s="751" t="s">
        <v>826</v>
      </c>
      <c r="C23" s="2" t="s">
        <v>967</v>
      </c>
      <c r="D23" s="788"/>
      <c r="E23" s="788">
        <f>E18*$C$9</f>
        <v>0</v>
      </c>
      <c r="F23" s="788">
        <f t="shared" ref="F23:AK23" si="45">F18*$C$9</f>
        <v>0</v>
      </c>
      <c r="G23" s="788">
        <f t="shared" si="45"/>
        <v>0</v>
      </c>
      <c r="H23" s="788">
        <f t="shared" si="45"/>
        <v>0</v>
      </c>
      <c r="I23" s="788">
        <f t="shared" si="45"/>
        <v>0</v>
      </c>
      <c r="J23" s="788">
        <f t="shared" si="45"/>
        <v>0</v>
      </c>
      <c r="K23" s="788">
        <f t="shared" si="45"/>
        <v>24635.3184</v>
      </c>
      <c r="L23" s="788">
        <f t="shared" si="45"/>
        <v>24702.262200000001</v>
      </c>
      <c r="M23" s="788">
        <f t="shared" si="45"/>
        <v>24769.206000000002</v>
      </c>
      <c r="N23" s="788">
        <f t="shared" si="45"/>
        <v>24836.149800000003</v>
      </c>
      <c r="O23" s="788">
        <f t="shared" si="45"/>
        <v>24903.093600000004</v>
      </c>
      <c r="P23" s="788">
        <f t="shared" si="45"/>
        <v>24970.037400000001</v>
      </c>
      <c r="Q23" s="788">
        <f t="shared" si="45"/>
        <v>25036.981199999998</v>
      </c>
      <c r="R23" s="788">
        <f t="shared" si="45"/>
        <v>25103.925000000003</v>
      </c>
      <c r="S23" s="788">
        <f t="shared" si="45"/>
        <v>25170.8688</v>
      </c>
      <c r="T23" s="788">
        <f t="shared" si="45"/>
        <v>25237.812600000001</v>
      </c>
      <c r="U23" s="788">
        <f t="shared" si="45"/>
        <v>25304.756400000002</v>
      </c>
      <c r="V23" s="788">
        <f t="shared" si="45"/>
        <v>25371.700199999999</v>
      </c>
      <c r="W23" s="788">
        <f t="shared" si="45"/>
        <v>25438.644</v>
      </c>
      <c r="X23" s="788">
        <f t="shared" si="45"/>
        <v>25505.587800000005</v>
      </c>
      <c r="Y23" s="788">
        <f t="shared" si="45"/>
        <v>25572.531600000002</v>
      </c>
      <c r="Z23" s="788">
        <f t="shared" si="45"/>
        <v>25639.475399999999</v>
      </c>
      <c r="AA23" s="788">
        <f t="shared" si="45"/>
        <v>25706.4192</v>
      </c>
      <c r="AB23" s="788">
        <f t="shared" si="45"/>
        <v>25773.363000000001</v>
      </c>
      <c r="AC23" s="788">
        <f t="shared" si="45"/>
        <v>25840.306800000002</v>
      </c>
      <c r="AD23" s="788">
        <f t="shared" si="45"/>
        <v>25907.250600000003</v>
      </c>
      <c r="AE23" s="788">
        <f t="shared" si="45"/>
        <v>25974.1944</v>
      </c>
      <c r="AF23" s="788">
        <f t="shared" si="45"/>
        <v>26041.138200000001</v>
      </c>
      <c r="AG23" s="788">
        <f t="shared" si="45"/>
        <v>26108.082000000002</v>
      </c>
      <c r="AH23" s="788">
        <f t="shared" si="45"/>
        <v>26175.025800000003</v>
      </c>
      <c r="AI23" s="788">
        <f t="shared" si="45"/>
        <v>26241.9696</v>
      </c>
      <c r="AJ23" s="788">
        <f t="shared" si="45"/>
        <v>26308.913400000001</v>
      </c>
      <c r="AK23" s="788">
        <f t="shared" si="45"/>
        <v>26375.857200000002</v>
      </c>
      <c r="AL23" s="788">
        <f t="shared" ref="AL23:AM23" si="46">AL18*$C$9</f>
        <v>26442.800999999999</v>
      </c>
      <c r="AM23" s="788">
        <f t="shared" si="46"/>
        <v>26509.7448</v>
      </c>
      <c r="AN23" s="788">
        <f t="shared" ref="AN23" si="47">AN18*$C$9</f>
        <v>26576.688600000005</v>
      </c>
    </row>
    <row r="24" spans="2:40" x14ac:dyDescent="0.25">
      <c r="B24" s="752" t="s">
        <v>683</v>
      </c>
      <c r="C24" s="749" t="s">
        <v>967</v>
      </c>
      <c r="D24" s="796"/>
      <c r="E24" s="796">
        <f>E19*$C$10</f>
        <v>0</v>
      </c>
      <c r="F24" s="796">
        <f t="shared" ref="F24:AK24" si="48">F19*$C$10</f>
        <v>0</v>
      </c>
      <c r="G24" s="796">
        <f t="shared" si="48"/>
        <v>0</v>
      </c>
      <c r="H24" s="796">
        <f t="shared" si="48"/>
        <v>0</v>
      </c>
      <c r="I24" s="796">
        <f t="shared" si="48"/>
        <v>0</v>
      </c>
      <c r="J24" s="796">
        <f t="shared" si="48"/>
        <v>0</v>
      </c>
      <c r="K24" s="796">
        <f t="shared" si="48"/>
        <v>263.12</v>
      </c>
      <c r="L24" s="796">
        <f t="shared" si="48"/>
        <v>263.83499999999998</v>
      </c>
      <c r="M24" s="796">
        <f t="shared" si="48"/>
        <v>264.55</v>
      </c>
      <c r="N24" s="796">
        <f t="shared" si="48"/>
        <v>265.26500000000004</v>
      </c>
      <c r="O24" s="796">
        <f t="shared" si="48"/>
        <v>265.98</v>
      </c>
      <c r="P24" s="796">
        <f t="shared" si="48"/>
        <v>266.69499999999999</v>
      </c>
      <c r="Q24" s="796">
        <f t="shared" si="48"/>
        <v>267.41000000000003</v>
      </c>
      <c r="R24" s="796">
        <f t="shared" si="48"/>
        <v>268.125</v>
      </c>
      <c r="S24" s="796">
        <f t="shared" si="48"/>
        <v>268.84000000000003</v>
      </c>
      <c r="T24" s="796">
        <f t="shared" si="48"/>
        <v>269.55500000000001</v>
      </c>
      <c r="U24" s="796">
        <f t="shared" si="48"/>
        <v>270.27</v>
      </c>
      <c r="V24" s="796">
        <f t="shared" si="48"/>
        <v>270.98500000000001</v>
      </c>
      <c r="W24" s="796">
        <f t="shared" si="48"/>
        <v>271.7</v>
      </c>
      <c r="X24" s="796">
        <f t="shared" si="48"/>
        <v>272.41500000000002</v>
      </c>
      <c r="Y24" s="796">
        <f t="shared" si="48"/>
        <v>273.13000000000005</v>
      </c>
      <c r="Z24" s="796">
        <f t="shared" si="48"/>
        <v>273.84499999999997</v>
      </c>
      <c r="AA24" s="796">
        <f t="shared" si="48"/>
        <v>274.56</v>
      </c>
      <c r="AB24" s="796">
        <f t="shared" si="48"/>
        <v>275.27500000000003</v>
      </c>
      <c r="AC24" s="796">
        <f t="shared" si="48"/>
        <v>275.99</v>
      </c>
      <c r="AD24" s="796">
        <f t="shared" si="48"/>
        <v>276.70500000000004</v>
      </c>
      <c r="AE24" s="796">
        <f t="shared" si="48"/>
        <v>277.42</v>
      </c>
      <c r="AF24" s="796">
        <f t="shared" si="48"/>
        <v>278.13499999999999</v>
      </c>
      <c r="AG24" s="796">
        <f t="shared" si="48"/>
        <v>278.85000000000002</v>
      </c>
      <c r="AH24" s="796">
        <f t="shared" si="48"/>
        <v>279.565</v>
      </c>
      <c r="AI24" s="796">
        <f t="shared" si="48"/>
        <v>280.28000000000003</v>
      </c>
      <c r="AJ24" s="796">
        <f t="shared" si="48"/>
        <v>280.995</v>
      </c>
      <c r="AK24" s="796">
        <f t="shared" si="48"/>
        <v>281.70999999999998</v>
      </c>
      <c r="AL24" s="796">
        <f t="shared" ref="AL24:AM24" si="49">AL19*$C$10</f>
        <v>282.42500000000001</v>
      </c>
      <c r="AM24" s="796">
        <f t="shared" si="49"/>
        <v>283.14000000000004</v>
      </c>
      <c r="AN24" s="796">
        <f t="shared" ref="AN24" si="50">AN19*$C$10</f>
        <v>283.85500000000002</v>
      </c>
    </row>
    <row r="25" spans="2:40" x14ac:dyDescent="0.25">
      <c r="B25" s="748" t="s">
        <v>725</v>
      </c>
      <c r="C25" s="653" t="s">
        <v>967</v>
      </c>
      <c r="D25" s="1039">
        <f>AVERAGE(K25:AN25)</f>
        <v>25879.491000000002</v>
      </c>
      <c r="E25" s="792">
        <f>SUM(E23:E24)</f>
        <v>0</v>
      </c>
      <c r="F25" s="792">
        <f t="shared" ref="F25" si="51">SUM(F23:F24)</f>
        <v>0</v>
      </c>
      <c r="G25" s="792">
        <f t="shared" ref="G25" si="52">SUM(G23:G24)</f>
        <v>0</v>
      </c>
      <c r="H25" s="792">
        <f t="shared" ref="H25" si="53">SUM(H23:H24)</f>
        <v>0</v>
      </c>
      <c r="I25" s="792">
        <f t="shared" ref="I25" si="54">SUM(I23:I24)</f>
        <v>0</v>
      </c>
      <c r="J25" s="792">
        <f t="shared" ref="J25" si="55">SUM(J23:J24)</f>
        <v>0</v>
      </c>
      <c r="K25" s="792">
        <f t="shared" ref="K25" si="56">SUM(K23:K24)</f>
        <v>24898.438399999999</v>
      </c>
      <c r="L25" s="792">
        <f t="shared" ref="L25" si="57">SUM(L23:L24)</f>
        <v>24966.0972</v>
      </c>
      <c r="M25" s="792">
        <f t="shared" ref="M25" si="58">SUM(M23:M24)</f>
        <v>25033.756000000001</v>
      </c>
      <c r="N25" s="792">
        <f t="shared" ref="N25" si="59">SUM(N23:N24)</f>
        <v>25101.414800000002</v>
      </c>
      <c r="O25" s="792">
        <f t="shared" ref="O25" si="60">SUM(O23:O24)</f>
        <v>25169.073600000003</v>
      </c>
      <c r="P25" s="792">
        <f t="shared" ref="P25" si="61">SUM(P23:P24)</f>
        <v>25236.732400000001</v>
      </c>
      <c r="Q25" s="792">
        <f t="shared" ref="Q25" si="62">SUM(Q23:Q24)</f>
        <v>25304.391199999998</v>
      </c>
      <c r="R25" s="792">
        <f t="shared" ref="R25" si="63">SUM(R23:R24)</f>
        <v>25372.050000000003</v>
      </c>
      <c r="S25" s="792">
        <f t="shared" ref="S25" si="64">SUM(S23:S24)</f>
        <v>25439.7088</v>
      </c>
      <c r="T25" s="792">
        <f t="shared" ref="T25" si="65">SUM(T23:T24)</f>
        <v>25507.367600000001</v>
      </c>
      <c r="U25" s="792">
        <f t="shared" ref="U25" si="66">SUM(U23:U24)</f>
        <v>25575.026400000002</v>
      </c>
      <c r="V25" s="792">
        <f t="shared" ref="V25" si="67">SUM(V23:V24)</f>
        <v>25642.6852</v>
      </c>
      <c r="W25" s="792">
        <f t="shared" ref="W25" si="68">SUM(W23:W24)</f>
        <v>25710.344000000001</v>
      </c>
      <c r="X25" s="792">
        <f t="shared" ref="X25" si="69">SUM(X23:X24)</f>
        <v>25778.002800000006</v>
      </c>
      <c r="Y25" s="792">
        <f t="shared" ref="Y25" si="70">SUM(Y23:Y24)</f>
        <v>25845.661600000003</v>
      </c>
      <c r="Z25" s="792">
        <f t="shared" ref="Z25" si="71">SUM(Z23:Z24)</f>
        <v>25913.320400000001</v>
      </c>
      <c r="AA25" s="792">
        <f t="shared" ref="AA25" si="72">SUM(AA23:AA24)</f>
        <v>25980.979200000002</v>
      </c>
      <c r="AB25" s="792">
        <f t="shared" ref="AB25" si="73">SUM(AB23:AB24)</f>
        <v>26048.638000000003</v>
      </c>
      <c r="AC25" s="792">
        <f t="shared" ref="AC25" si="74">SUM(AC23:AC24)</f>
        <v>26116.296800000004</v>
      </c>
      <c r="AD25" s="792">
        <f t="shared" ref="AD25" si="75">SUM(AD23:AD24)</f>
        <v>26183.955600000005</v>
      </c>
      <c r="AE25" s="792">
        <f t="shared" ref="AE25" si="76">SUM(AE23:AE24)</f>
        <v>26251.614399999999</v>
      </c>
      <c r="AF25" s="792">
        <f t="shared" ref="AF25" si="77">SUM(AF23:AF24)</f>
        <v>26319.2732</v>
      </c>
      <c r="AG25" s="792">
        <f t="shared" ref="AG25" si="78">SUM(AG23:AG24)</f>
        <v>26386.932000000001</v>
      </c>
      <c r="AH25" s="792">
        <f t="shared" ref="AH25" si="79">SUM(AH23:AH24)</f>
        <v>26454.590800000002</v>
      </c>
      <c r="AI25" s="792">
        <f t="shared" ref="AI25" si="80">SUM(AI23:AI24)</f>
        <v>26522.249599999999</v>
      </c>
      <c r="AJ25" s="792">
        <f t="shared" ref="AJ25" si="81">SUM(AJ23:AJ24)</f>
        <v>26589.9084</v>
      </c>
      <c r="AK25" s="792">
        <f t="shared" ref="AK25:AM25" si="82">SUM(AK23:AK24)</f>
        <v>26657.567200000001</v>
      </c>
      <c r="AL25" s="792">
        <f t="shared" si="82"/>
        <v>26725.225999999999</v>
      </c>
      <c r="AM25" s="792">
        <f t="shared" si="82"/>
        <v>26792.8848</v>
      </c>
      <c r="AN25" s="792">
        <f t="shared" ref="AN25" si="83">SUM(AN23:AN24)</f>
        <v>26860.543600000005</v>
      </c>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N19"/>
  <sheetViews>
    <sheetView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4.4" x14ac:dyDescent="0.25"/>
  <cols>
    <col min="1" max="1" width="1.6640625" customWidth="1"/>
    <col min="2" max="2" width="38.88671875" customWidth="1"/>
    <col min="3" max="3" width="11.44140625" style="2" bestFit="1" customWidth="1"/>
    <col min="4" max="4" width="11.44140625" style="2" customWidth="1"/>
    <col min="5" max="39" width="12" customWidth="1"/>
  </cols>
  <sheetData>
    <row r="1" spans="2:40" ht="8.1999999999999993" customHeight="1" x14ac:dyDescent="0.25"/>
    <row r="2" spans="2:40" ht="17.7" x14ac:dyDescent="0.3">
      <c r="B2" s="765" t="s">
        <v>740</v>
      </c>
    </row>
    <row r="3" spans="2:40" x14ac:dyDescent="0.25">
      <c r="C3" s="645" t="s">
        <v>544</v>
      </c>
      <c r="D3" s="645"/>
    </row>
    <row r="4" spans="2:40" x14ac:dyDescent="0.25">
      <c r="C4" s="648">
        <f>Assumptions!$D$10</f>
        <v>2018</v>
      </c>
      <c r="D4" s="672" t="s">
        <v>148</v>
      </c>
      <c r="E4" s="672">
        <v>2019</v>
      </c>
      <c r="F4" s="672">
        <f>E4+1</f>
        <v>2020</v>
      </c>
      <c r="G4" s="672">
        <f t="shared" ref="G4:AN4" si="0">F4+1</f>
        <v>2021</v>
      </c>
      <c r="H4" s="672">
        <f t="shared" si="0"/>
        <v>2022</v>
      </c>
      <c r="I4" s="672">
        <f t="shared" si="0"/>
        <v>2023</v>
      </c>
      <c r="J4" s="672">
        <f t="shared" si="0"/>
        <v>2024</v>
      </c>
      <c r="K4" s="672">
        <f t="shared" si="0"/>
        <v>2025</v>
      </c>
      <c r="L4" s="672">
        <f t="shared" si="0"/>
        <v>2026</v>
      </c>
      <c r="M4" s="672">
        <f t="shared" si="0"/>
        <v>2027</v>
      </c>
      <c r="N4" s="672">
        <f t="shared" si="0"/>
        <v>2028</v>
      </c>
      <c r="O4" s="672">
        <f t="shared" si="0"/>
        <v>2029</v>
      </c>
      <c r="P4" s="672">
        <f t="shared" si="0"/>
        <v>2030</v>
      </c>
      <c r="Q4" s="672">
        <f t="shared" si="0"/>
        <v>2031</v>
      </c>
      <c r="R4" s="672">
        <f t="shared" si="0"/>
        <v>2032</v>
      </c>
      <c r="S4" s="672">
        <f t="shared" si="0"/>
        <v>2033</v>
      </c>
      <c r="T4" s="672">
        <f t="shared" si="0"/>
        <v>2034</v>
      </c>
      <c r="U4" s="672">
        <f t="shared" si="0"/>
        <v>2035</v>
      </c>
      <c r="V4" s="672">
        <f t="shared" si="0"/>
        <v>2036</v>
      </c>
      <c r="W4" s="672">
        <f t="shared" si="0"/>
        <v>2037</v>
      </c>
      <c r="X4" s="672">
        <f t="shared" si="0"/>
        <v>2038</v>
      </c>
      <c r="Y4" s="672">
        <f t="shared" si="0"/>
        <v>2039</v>
      </c>
      <c r="Z4" s="672">
        <f t="shared" si="0"/>
        <v>2040</v>
      </c>
      <c r="AA4" s="672">
        <f t="shared" si="0"/>
        <v>2041</v>
      </c>
      <c r="AB4" s="672">
        <f t="shared" si="0"/>
        <v>2042</v>
      </c>
      <c r="AC4" s="672">
        <f t="shared" si="0"/>
        <v>2043</v>
      </c>
      <c r="AD4" s="672">
        <f t="shared" si="0"/>
        <v>2044</v>
      </c>
      <c r="AE4" s="672">
        <f t="shared" si="0"/>
        <v>2045</v>
      </c>
      <c r="AF4" s="672">
        <f t="shared" si="0"/>
        <v>2046</v>
      </c>
      <c r="AG4" s="672">
        <f t="shared" si="0"/>
        <v>2047</v>
      </c>
      <c r="AH4" s="672">
        <f t="shared" si="0"/>
        <v>2048</v>
      </c>
      <c r="AI4" s="672">
        <f t="shared" si="0"/>
        <v>2049</v>
      </c>
      <c r="AJ4" s="672">
        <f t="shared" si="0"/>
        <v>2050</v>
      </c>
      <c r="AK4" s="672">
        <f t="shared" si="0"/>
        <v>2051</v>
      </c>
      <c r="AL4" s="672">
        <f t="shared" si="0"/>
        <v>2052</v>
      </c>
      <c r="AM4" s="672">
        <f t="shared" si="0"/>
        <v>2053</v>
      </c>
      <c r="AN4" s="672">
        <f t="shared" si="0"/>
        <v>2054</v>
      </c>
    </row>
    <row r="5" spans="2:40" x14ac:dyDescent="0.25">
      <c r="D5"/>
    </row>
    <row r="6" spans="2:40" x14ac:dyDescent="0.25">
      <c r="D6"/>
    </row>
    <row r="7" spans="2:40" x14ac:dyDescent="0.25">
      <c r="B7" t="s">
        <v>828</v>
      </c>
      <c r="C7" s="840">
        <f>Assumptions!$D$90</f>
        <v>0.39</v>
      </c>
      <c r="D7"/>
    </row>
    <row r="8" spans="2:40" x14ac:dyDescent="0.25">
      <c r="B8" t="s">
        <v>781</v>
      </c>
      <c r="C8" s="840">
        <f>Assumptions!$D$91</f>
        <v>0.9</v>
      </c>
      <c r="D8"/>
    </row>
    <row r="9" spans="2:40" x14ac:dyDescent="0.25">
      <c r="D9"/>
    </row>
    <row r="10" spans="2:40" x14ac:dyDescent="0.25">
      <c r="B10" s="805" t="s">
        <v>1007</v>
      </c>
      <c r="D10"/>
    </row>
    <row r="11" spans="2:40" x14ac:dyDescent="0.25">
      <c r="B11" s="751" t="s">
        <v>826</v>
      </c>
      <c r="C11" s="2" t="s">
        <v>1008</v>
      </c>
      <c r="D11" s="802"/>
      <c r="E11" s="802">
        <f>'Demand Forecast'!G18</f>
        <v>0</v>
      </c>
      <c r="F11" s="802">
        <f>'Demand Forecast'!H18</f>
        <v>0</v>
      </c>
      <c r="G11" s="802">
        <f>'Demand Forecast'!I18</f>
        <v>0</v>
      </c>
      <c r="H11" s="802">
        <f>'Demand Forecast'!J18</f>
        <v>0</v>
      </c>
      <c r="I11" s="802">
        <f>'Demand Forecast'!K18</f>
        <v>0</v>
      </c>
      <c r="J11" s="802">
        <f>'Demand Forecast'!L18</f>
        <v>0</v>
      </c>
      <c r="K11" s="802">
        <f>'Demand Forecast'!M18</f>
        <v>27324</v>
      </c>
      <c r="L11" s="802">
        <f>'Demand Forecast'!N18</f>
        <v>27398.25</v>
      </c>
      <c r="M11" s="802">
        <f>'Demand Forecast'!O18</f>
        <v>27472.5</v>
      </c>
      <c r="N11" s="802">
        <f>'Demand Forecast'!P18</f>
        <v>27546.75</v>
      </c>
      <c r="O11" s="802">
        <f>'Demand Forecast'!Q18</f>
        <v>27621</v>
      </c>
      <c r="P11" s="802">
        <f>'Demand Forecast'!R18</f>
        <v>27695.25</v>
      </c>
      <c r="Q11" s="802">
        <f>'Demand Forecast'!S18</f>
        <v>27769.5</v>
      </c>
      <c r="R11" s="802">
        <f>'Demand Forecast'!T18</f>
        <v>27843.75</v>
      </c>
      <c r="S11" s="802">
        <f>'Demand Forecast'!U18</f>
        <v>27918</v>
      </c>
      <c r="T11" s="802">
        <f>'Demand Forecast'!V18</f>
        <v>27992.25</v>
      </c>
      <c r="U11" s="802">
        <f>'Demand Forecast'!W18</f>
        <v>28066.5</v>
      </c>
      <c r="V11" s="802">
        <f>'Demand Forecast'!X18</f>
        <v>28140.75</v>
      </c>
      <c r="W11" s="802">
        <f>'Demand Forecast'!Y18</f>
        <v>28215</v>
      </c>
      <c r="X11" s="802">
        <f>'Demand Forecast'!Z18</f>
        <v>28289.25</v>
      </c>
      <c r="Y11" s="802">
        <f>'Demand Forecast'!AA18</f>
        <v>28363.5</v>
      </c>
      <c r="Z11" s="802">
        <f>'Demand Forecast'!AB18</f>
        <v>28437.75</v>
      </c>
      <c r="AA11" s="802">
        <f>'Demand Forecast'!AC18</f>
        <v>28512</v>
      </c>
      <c r="AB11" s="802">
        <f>'Demand Forecast'!AD18</f>
        <v>28586.25</v>
      </c>
      <c r="AC11" s="802">
        <f>'Demand Forecast'!AE18</f>
        <v>28660.5</v>
      </c>
      <c r="AD11" s="802">
        <f>'Demand Forecast'!AF18</f>
        <v>28734.75</v>
      </c>
      <c r="AE11" s="802">
        <f>'Demand Forecast'!AG18</f>
        <v>28809</v>
      </c>
      <c r="AF11" s="802">
        <f>'Demand Forecast'!AH18</f>
        <v>28883.25</v>
      </c>
      <c r="AG11" s="802">
        <f>'Demand Forecast'!AI18</f>
        <v>28957.5</v>
      </c>
      <c r="AH11" s="802">
        <f>'Demand Forecast'!AJ18</f>
        <v>29031.75</v>
      </c>
      <c r="AI11" s="802">
        <f>'Demand Forecast'!AK18</f>
        <v>29106</v>
      </c>
      <c r="AJ11" s="802">
        <f>'Demand Forecast'!AL18</f>
        <v>29180.25</v>
      </c>
      <c r="AK11" s="802">
        <f>'Demand Forecast'!AM18</f>
        <v>29254.5</v>
      </c>
      <c r="AL11" s="802">
        <f>'Demand Forecast'!AN18</f>
        <v>29328.75</v>
      </c>
      <c r="AM11" s="802">
        <f>'Demand Forecast'!AO18</f>
        <v>29403</v>
      </c>
      <c r="AN11" s="802">
        <f>'Demand Forecast'!AP18</f>
        <v>29477.25</v>
      </c>
    </row>
    <row r="12" spans="2:40" x14ac:dyDescent="0.25">
      <c r="B12" s="752" t="s">
        <v>683</v>
      </c>
      <c r="C12" s="749" t="s">
        <v>1008</v>
      </c>
      <c r="D12" s="806"/>
      <c r="E12" s="806">
        <f>'Demand Forecast'!G19</f>
        <v>0</v>
      </c>
      <c r="F12" s="806">
        <f>'Demand Forecast'!H19</f>
        <v>0</v>
      </c>
      <c r="G12" s="806">
        <f>'Demand Forecast'!I19</f>
        <v>0</v>
      </c>
      <c r="H12" s="806">
        <f>'Demand Forecast'!J19</f>
        <v>0</v>
      </c>
      <c r="I12" s="806">
        <f>'Demand Forecast'!K19</f>
        <v>0</v>
      </c>
      <c r="J12" s="806">
        <f>'Demand Forecast'!L19</f>
        <v>0</v>
      </c>
      <c r="K12" s="806">
        <f>'Demand Forecast'!M19</f>
        <v>276</v>
      </c>
      <c r="L12" s="806">
        <f>'Demand Forecast'!N19</f>
        <v>276.75</v>
      </c>
      <c r="M12" s="806">
        <f>'Demand Forecast'!O19</f>
        <v>277.5</v>
      </c>
      <c r="N12" s="806">
        <f>'Demand Forecast'!P19</f>
        <v>278.25</v>
      </c>
      <c r="O12" s="806">
        <f>'Demand Forecast'!Q19</f>
        <v>279</v>
      </c>
      <c r="P12" s="806">
        <f>'Demand Forecast'!R19</f>
        <v>279.75</v>
      </c>
      <c r="Q12" s="806">
        <f>'Demand Forecast'!S19</f>
        <v>280.5</v>
      </c>
      <c r="R12" s="806">
        <f>'Demand Forecast'!T19</f>
        <v>281.25</v>
      </c>
      <c r="S12" s="806">
        <f>'Demand Forecast'!U19</f>
        <v>282</v>
      </c>
      <c r="T12" s="806">
        <f>'Demand Forecast'!V19</f>
        <v>282.75</v>
      </c>
      <c r="U12" s="806">
        <f>'Demand Forecast'!W19</f>
        <v>283.5</v>
      </c>
      <c r="V12" s="806">
        <f>'Demand Forecast'!X19</f>
        <v>284.25</v>
      </c>
      <c r="W12" s="806">
        <f>'Demand Forecast'!Y19</f>
        <v>285</v>
      </c>
      <c r="X12" s="806">
        <f>'Demand Forecast'!Z19</f>
        <v>285.75</v>
      </c>
      <c r="Y12" s="806">
        <f>'Demand Forecast'!AA19</f>
        <v>286.5</v>
      </c>
      <c r="Z12" s="806">
        <f>'Demand Forecast'!AB19</f>
        <v>287.25</v>
      </c>
      <c r="AA12" s="806">
        <f>'Demand Forecast'!AC19</f>
        <v>288</v>
      </c>
      <c r="AB12" s="806">
        <f>'Demand Forecast'!AD19</f>
        <v>288.75</v>
      </c>
      <c r="AC12" s="806">
        <f>'Demand Forecast'!AE19</f>
        <v>289.5</v>
      </c>
      <c r="AD12" s="806">
        <f>'Demand Forecast'!AF19</f>
        <v>290.25</v>
      </c>
      <c r="AE12" s="806">
        <f>'Demand Forecast'!AG19</f>
        <v>291</v>
      </c>
      <c r="AF12" s="806">
        <f>'Demand Forecast'!AH19</f>
        <v>291.75</v>
      </c>
      <c r="AG12" s="806">
        <f>'Demand Forecast'!AI19</f>
        <v>292.5</v>
      </c>
      <c r="AH12" s="806">
        <f>'Demand Forecast'!AJ19</f>
        <v>293.25</v>
      </c>
      <c r="AI12" s="806">
        <f>'Demand Forecast'!AK19</f>
        <v>294</v>
      </c>
      <c r="AJ12" s="806">
        <f>'Demand Forecast'!AL19</f>
        <v>294.75</v>
      </c>
      <c r="AK12" s="806">
        <f>'Demand Forecast'!AM19</f>
        <v>295.5</v>
      </c>
      <c r="AL12" s="806">
        <f>'Demand Forecast'!AN19</f>
        <v>296.25</v>
      </c>
      <c r="AM12" s="806">
        <f>'Demand Forecast'!AO19</f>
        <v>297</v>
      </c>
      <c r="AN12" s="806">
        <f>'Demand Forecast'!AP19</f>
        <v>297.75</v>
      </c>
    </row>
    <row r="13" spans="2:40" x14ac:dyDescent="0.25">
      <c r="B13" s="644" t="s">
        <v>393</v>
      </c>
      <c r="C13" s="652" t="s">
        <v>1008</v>
      </c>
      <c r="D13" s="821"/>
      <c r="E13" s="821">
        <f>SUM(E11:E12)</f>
        <v>0</v>
      </c>
      <c r="F13" s="821">
        <f t="shared" ref="F13:AM13" si="1">SUM(F11:F12)</f>
        <v>0</v>
      </c>
      <c r="G13" s="821">
        <f t="shared" si="1"/>
        <v>0</v>
      </c>
      <c r="H13" s="821">
        <f t="shared" si="1"/>
        <v>0</v>
      </c>
      <c r="I13" s="821">
        <f t="shared" si="1"/>
        <v>0</v>
      </c>
      <c r="J13" s="821">
        <f t="shared" si="1"/>
        <v>0</v>
      </c>
      <c r="K13" s="821">
        <f t="shared" si="1"/>
        <v>27600</v>
      </c>
      <c r="L13" s="821">
        <f t="shared" si="1"/>
        <v>27675</v>
      </c>
      <c r="M13" s="821">
        <f t="shared" si="1"/>
        <v>27750</v>
      </c>
      <c r="N13" s="821">
        <f t="shared" si="1"/>
        <v>27825</v>
      </c>
      <c r="O13" s="821">
        <f t="shared" si="1"/>
        <v>27900</v>
      </c>
      <c r="P13" s="821">
        <f t="shared" si="1"/>
        <v>27975</v>
      </c>
      <c r="Q13" s="821">
        <f t="shared" si="1"/>
        <v>28050</v>
      </c>
      <c r="R13" s="821">
        <f t="shared" si="1"/>
        <v>28125</v>
      </c>
      <c r="S13" s="821">
        <f t="shared" si="1"/>
        <v>28200</v>
      </c>
      <c r="T13" s="821">
        <f t="shared" si="1"/>
        <v>28275</v>
      </c>
      <c r="U13" s="821">
        <f t="shared" si="1"/>
        <v>28350</v>
      </c>
      <c r="V13" s="821">
        <f t="shared" si="1"/>
        <v>28425</v>
      </c>
      <c r="W13" s="821">
        <f t="shared" si="1"/>
        <v>28500</v>
      </c>
      <c r="X13" s="821">
        <f t="shared" si="1"/>
        <v>28575</v>
      </c>
      <c r="Y13" s="821">
        <f t="shared" si="1"/>
        <v>28650</v>
      </c>
      <c r="Z13" s="821">
        <f t="shared" si="1"/>
        <v>28725</v>
      </c>
      <c r="AA13" s="821">
        <f t="shared" si="1"/>
        <v>28800</v>
      </c>
      <c r="AB13" s="821">
        <f t="shared" si="1"/>
        <v>28875</v>
      </c>
      <c r="AC13" s="821">
        <f t="shared" si="1"/>
        <v>28950</v>
      </c>
      <c r="AD13" s="821">
        <f t="shared" si="1"/>
        <v>29025</v>
      </c>
      <c r="AE13" s="821">
        <f t="shared" si="1"/>
        <v>29100</v>
      </c>
      <c r="AF13" s="821">
        <f t="shared" si="1"/>
        <v>29175</v>
      </c>
      <c r="AG13" s="821">
        <f t="shared" si="1"/>
        <v>29250</v>
      </c>
      <c r="AH13" s="821">
        <f t="shared" si="1"/>
        <v>29325</v>
      </c>
      <c r="AI13" s="821">
        <f t="shared" si="1"/>
        <v>29400</v>
      </c>
      <c r="AJ13" s="821">
        <f t="shared" si="1"/>
        <v>29475</v>
      </c>
      <c r="AK13" s="821">
        <f t="shared" si="1"/>
        <v>29550</v>
      </c>
      <c r="AL13" s="821">
        <f t="shared" si="1"/>
        <v>29625</v>
      </c>
      <c r="AM13" s="821">
        <f t="shared" si="1"/>
        <v>29700</v>
      </c>
      <c r="AN13" s="821">
        <f t="shared" ref="AN13" si="2">SUM(AN11:AN12)</f>
        <v>29775</v>
      </c>
    </row>
    <row r="14" spans="2:40" x14ac:dyDescent="0.25">
      <c r="B14" s="751"/>
      <c r="D14" s="804"/>
      <c r="E14" s="804"/>
      <c r="F14" s="804"/>
      <c r="G14" s="804"/>
      <c r="H14" s="804"/>
      <c r="I14" s="804"/>
      <c r="J14" s="804"/>
      <c r="K14" s="804"/>
      <c r="L14" s="804"/>
      <c r="M14" s="804"/>
      <c r="N14" s="804"/>
      <c r="O14" s="804"/>
      <c r="P14" s="804"/>
      <c r="Q14" s="804"/>
      <c r="R14" s="804"/>
      <c r="S14" s="804"/>
      <c r="T14" s="804"/>
      <c r="U14" s="804"/>
      <c r="V14" s="804"/>
      <c r="W14" s="804"/>
      <c r="X14" s="804"/>
      <c r="Y14" s="804"/>
      <c r="Z14" s="804"/>
      <c r="AA14" s="804"/>
      <c r="AB14" s="804"/>
      <c r="AC14" s="804"/>
      <c r="AD14" s="804"/>
      <c r="AE14" s="804"/>
      <c r="AF14" s="804"/>
      <c r="AG14" s="804"/>
      <c r="AH14" s="804"/>
      <c r="AI14" s="804"/>
      <c r="AJ14" s="804"/>
      <c r="AK14" s="804"/>
    </row>
    <row r="15" spans="2:40" x14ac:dyDescent="0.25">
      <c r="B15" s="4" t="s">
        <v>782</v>
      </c>
      <c r="C15" s="653"/>
      <c r="D15" s="791"/>
      <c r="E15" s="791"/>
      <c r="F15" s="791"/>
      <c r="G15" s="791"/>
      <c r="H15" s="791"/>
      <c r="I15" s="791"/>
      <c r="J15" s="791"/>
      <c r="K15" s="791"/>
      <c r="L15" s="791"/>
      <c r="M15" s="791"/>
      <c r="N15" s="791"/>
      <c r="O15" s="791"/>
      <c r="P15" s="791"/>
      <c r="Q15" s="791"/>
      <c r="R15" s="791"/>
      <c r="S15" s="791"/>
      <c r="T15" s="791"/>
      <c r="U15" s="791"/>
      <c r="V15" s="791"/>
      <c r="W15" s="791"/>
      <c r="X15" s="791"/>
      <c r="Y15" s="791"/>
      <c r="Z15" s="791"/>
      <c r="AA15" s="791"/>
      <c r="AB15" s="791"/>
      <c r="AC15" s="791"/>
      <c r="AD15" s="791"/>
      <c r="AE15" s="791"/>
      <c r="AF15" s="791"/>
      <c r="AG15" s="791"/>
      <c r="AH15" s="791"/>
      <c r="AI15" s="791"/>
      <c r="AJ15" s="791"/>
      <c r="AK15" s="791"/>
    </row>
    <row r="16" spans="2:40" x14ac:dyDescent="0.25">
      <c r="B16" s="751" t="s">
        <v>826</v>
      </c>
      <c r="C16" s="652" t="s">
        <v>967</v>
      </c>
      <c r="D16" s="807"/>
      <c r="E16" s="807">
        <f>E11*$C$7</f>
        <v>0</v>
      </c>
      <c r="F16" s="807">
        <f t="shared" ref="F16:AM16" si="3">F11*$C$7</f>
        <v>0</v>
      </c>
      <c r="G16" s="807">
        <f t="shared" si="3"/>
        <v>0</v>
      </c>
      <c r="H16" s="807">
        <f t="shared" si="3"/>
        <v>0</v>
      </c>
      <c r="I16" s="807">
        <f t="shared" si="3"/>
        <v>0</v>
      </c>
      <c r="J16" s="807">
        <f t="shared" si="3"/>
        <v>0</v>
      </c>
      <c r="K16" s="807">
        <f t="shared" si="3"/>
        <v>10656.36</v>
      </c>
      <c r="L16" s="807">
        <f t="shared" si="3"/>
        <v>10685.317500000001</v>
      </c>
      <c r="M16" s="807">
        <f t="shared" si="3"/>
        <v>10714.275</v>
      </c>
      <c r="N16" s="807">
        <f t="shared" si="3"/>
        <v>10743.2325</v>
      </c>
      <c r="O16" s="807">
        <f t="shared" si="3"/>
        <v>10772.19</v>
      </c>
      <c r="P16" s="807">
        <f t="shared" si="3"/>
        <v>10801.147500000001</v>
      </c>
      <c r="Q16" s="807">
        <f t="shared" si="3"/>
        <v>10830.105</v>
      </c>
      <c r="R16" s="807">
        <f t="shared" si="3"/>
        <v>10859.0625</v>
      </c>
      <c r="S16" s="807">
        <f t="shared" si="3"/>
        <v>10888.02</v>
      </c>
      <c r="T16" s="807">
        <f t="shared" si="3"/>
        <v>10916.977500000001</v>
      </c>
      <c r="U16" s="807">
        <f t="shared" si="3"/>
        <v>10945.934999999999</v>
      </c>
      <c r="V16" s="807">
        <f t="shared" si="3"/>
        <v>10974.8925</v>
      </c>
      <c r="W16" s="807">
        <f t="shared" si="3"/>
        <v>11003.85</v>
      </c>
      <c r="X16" s="807">
        <f t="shared" si="3"/>
        <v>11032.807500000001</v>
      </c>
      <c r="Y16" s="807">
        <f t="shared" si="3"/>
        <v>11061.765000000001</v>
      </c>
      <c r="Z16" s="807">
        <f t="shared" si="3"/>
        <v>11090.7225</v>
      </c>
      <c r="AA16" s="807">
        <f t="shared" si="3"/>
        <v>11119.68</v>
      </c>
      <c r="AB16" s="807">
        <f t="shared" si="3"/>
        <v>11148.637500000001</v>
      </c>
      <c r="AC16" s="807">
        <f t="shared" si="3"/>
        <v>11177.595000000001</v>
      </c>
      <c r="AD16" s="807">
        <f t="shared" si="3"/>
        <v>11206.5525</v>
      </c>
      <c r="AE16" s="807">
        <f t="shared" si="3"/>
        <v>11235.51</v>
      </c>
      <c r="AF16" s="807">
        <f t="shared" si="3"/>
        <v>11264.467500000001</v>
      </c>
      <c r="AG16" s="807">
        <f t="shared" si="3"/>
        <v>11293.425000000001</v>
      </c>
      <c r="AH16" s="807">
        <f t="shared" si="3"/>
        <v>11322.3825</v>
      </c>
      <c r="AI16" s="807">
        <f t="shared" si="3"/>
        <v>11351.34</v>
      </c>
      <c r="AJ16" s="807">
        <f t="shared" si="3"/>
        <v>11380.297500000001</v>
      </c>
      <c r="AK16" s="807">
        <f t="shared" si="3"/>
        <v>11409.255000000001</v>
      </c>
      <c r="AL16" s="807">
        <f t="shared" si="3"/>
        <v>11438.2125</v>
      </c>
      <c r="AM16" s="807">
        <f t="shared" si="3"/>
        <v>11467.17</v>
      </c>
      <c r="AN16" s="807">
        <f t="shared" ref="AN16" si="4">AN11*$C$7</f>
        <v>11496.127500000001</v>
      </c>
    </row>
    <row r="17" spans="2:40" x14ac:dyDescent="0.25">
      <c r="B17" s="752" t="s">
        <v>683</v>
      </c>
      <c r="C17" s="822" t="s">
        <v>967</v>
      </c>
      <c r="D17" s="811"/>
      <c r="E17" s="811">
        <f>E12*$C$8</f>
        <v>0</v>
      </c>
      <c r="F17" s="811">
        <f t="shared" ref="F17:AM17" si="5">F12*$C$8</f>
        <v>0</v>
      </c>
      <c r="G17" s="811">
        <f t="shared" si="5"/>
        <v>0</v>
      </c>
      <c r="H17" s="811">
        <f t="shared" si="5"/>
        <v>0</v>
      </c>
      <c r="I17" s="811">
        <f t="shared" si="5"/>
        <v>0</v>
      </c>
      <c r="J17" s="811">
        <f t="shared" si="5"/>
        <v>0</v>
      </c>
      <c r="K17" s="811">
        <f t="shared" si="5"/>
        <v>248.4</v>
      </c>
      <c r="L17" s="811">
        <f t="shared" si="5"/>
        <v>249.07500000000002</v>
      </c>
      <c r="M17" s="811">
        <f t="shared" si="5"/>
        <v>249.75</v>
      </c>
      <c r="N17" s="811">
        <f t="shared" si="5"/>
        <v>250.42500000000001</v>
      </c>
      <c r="O17" s="811">
        <f t="shared" si="5"/>
        <v>251.1</v>
      </c>
      <c r="P17" s="811">
        <f t="shared" si="5"/>
        <v>251.77500000000001</v>
      </c>
      <c r="Q17" s="811">
        <f t="shared" si="5"/>
        <v>252.45000000000002</v>
      </c>
      <c r="R17" s="811">
        <f t="shared" si="5"/>
        <v>253.125</v>
      </c>
      <c r="S17" s="811">
        <f t="shared" si="5"/>
        <v>253.8</v>
      </c>
      <c r="T17" s="811">
        <f t="shared" si="5"/>
        <v>254.47499999999999</v>
      </c>
      <c r="U17" s="811">
        <f t="shared" si="5"/>
        <v>255.15</v>
      </c>
      <c r="V17" s="811">
        <f t="shared" si="5"/>
        <v>255.82500000000002</v>
      </c>
      <c r="W17" s="811">
        <f t="shared" si="5"/>
        <v>256.5</v>
      </c>
      <c r="X17" s="811">
        <f t="shared" si="5"/>
        <v>257.17500000000001</v>
      </c>
      <c r="Y17" s="811">
        <f t="shared" si="5"/>
        <v>257.85000000000002</v>
      </c>
      <c r="Z17" s="811">
        <f t="shared" si="5"/>
        <v>258.52500000000003</v>
      </c>
      <c r="AA17" s="811">
        <f t="shared" si="5"/>
        <v>259.2</v>
      </c>
      <c r="AB17" s="811">
        <f t="shared" si="5"/>
        <v>259.875</v>
      </c>
      <c r="AC17" s="811">
        <f t="shared" si="5"/>
        <v>260.55</v>
      </c>
      <c r="AD17" s="811">
        <f t="shared" si="5"/>
        <v>261.22500000000002</v>
      </c>
      <c r="AE17" s="811">
        <f t="shared" si="5"/>
        <v>261.90000000000003</v>
      </c>
      <c r="AF17" s="811">
        <f t="shared" si="5"/>
        <v>262.57499999999999</v>
      </c>
      <c r="AG17" s="811">
        <f t="shared" si="5"/>
        <v>263.25</v>
      </c>
      <c r="AH17" s="811">
        <f t="shared" si="5"/>
        <v>263.92500000000001</v>
      </c>
      <c r="AI17" s="811">
        <f t="shared" si="5"/>
        <v>264.60000000000002</v>
      </c>
      <c r="AJ17" s="811">
        <f t="shared" si="5"/>
        <v>265.27500000000003</v>
      </c>
      <c r="AK17" s="811">
        <f t="shared" si="5"/>
        <v>265.95</v>
      </c>
      <c r="AL17" s="811">
        <f t="shared" si="5"/>
        <v>266.625</v>
      </c>
      <c r="AM17" s="811">
        <f t="shared" si="5"/>
        <v>267.3</v>
      </c>
      <c r="AN17" s="811">
        <f t="shared" ref="AN17" si="6">AN12*$C$8</f>
        <v>267.97500000000002</v>
      </c>
    </row>
    <row r="18" spans="2:40" x14ac:dyDescent="0.25">
      <c r="B18" s="748" t="s">
        <v>393</v>
      </c>
      <c r="C18" s="653" t="s">
        <v>967</v>
      </c>
      <c r="D18" s="1039">
        <f>AVERAGE(K18:AN18)</f>
        <v>11334.431250000001</v>
      </c>
      <c r="E18" s="792">
        <f>SUM(E16:E17)</f>
        <v>0</v>
      </c>
      <c r="F18" s="792">
        <f t="shared" ref="F18:AM18" si="7">SUM(F16:F17)</f>
        <v>0</v>
      </c>
      <c r="G18" s="792">
        <f t="shared" si="7"/>
        <v>0</v>
      </c>
      <c r="H18" s="792">
        <f t="shared" si="7"/>
        <v>0</v>
      </c>
      <c r="I18" s="792">
        <f t="shared" si="7"/>
        <v>0</v>
      </c>
      <c r="J18" s="792">
        <f t="shared" si="7"/>
        <v>0</v>
      </c>
      <c r="K18" s="792">
        <f t="shared" si="7"/>
        <v>10904.76</v>
      </c>
      <c r="L18" s="792">
        <f t="shared" si="7"/>
        <v>10934.392500000002</v>
      </c>
      <c r="M18" s="792">
        <f t="shared" si="7"/>
        <v>10964.025</v>
      </c>
      <c r="N18" s="792">
        <f t="shared" si="7"/>
        <v>10993.657499999999</v>
      </c>
      <c r="O18" s="792">
        <f t="shared" si="7"/>
        <v>11023.29</v>
      </c>
      <c r="P18" s="792">
        <f t="shared" si="7"/>
        <v>11052.922500000001</v>
      </c>
      <c r="Q18" s="792">
        <f t="shared" si="7"/>
        <v>11082.555</v>
      </c>
      <c r="R18" s="792">
        <f t="shared" si="7"/>
        <v>11112.1875</v>
      </c>
      <c r="S18" s="792">
        <f t="shared" si="7"/>
        <v>11141.82</v>
      </c>
      <c r="T18" s="792">
        <f t="shared" si="7"/>
        <v>11171.452500000001</v>
      </c>
      <c r="U18" s="792">
        <f t="shared" si="7"/>
        <v>11201.084999999999</v>
      </c>
      <c r="V18" s="792">
        <f t="shared" si="7"/>
        <v>11230.717500000001</v>
      </c>
      <c r="W18" s="792">
        <f t="shared" si="7"/>
        <v>11260.35</v>
      </c>
      <c r="X18" s="792">
        <f t="shared" si="7"/>
        <v>11289.9825</v>
      </c>
      <c r="Y18" s="792">
        <f t="shared" si="7"/>
        <v>11319.615000000002</v>
      </c>
      <c r="Z18" s="792">
        <f t="shared" si="7"/>
        <v>11349.247499999999</v>
      </c>
      <c r="AA18" s="792">
        <f t="shared" si="7"/>
        <v>11378.880000000001</v>
      </c>
      <c r="AB18" s="792">
        <f t="shared" si="7"/>
        <v>11408.512500000001</v>
      </c>
      <c r="AC18" s="792">
        <f t="shared" si="7"/>
        <v>11438.145</v>
      </c>
      <c r="AD18" s="792">
        <f t="shared" si="7"/>
        <v>11467.7775</v>
      </c>
      <c r="AE18" s="792">
        <f t="shared" si="7"/>
        <v>11497.41</v>
      </c>
      <c r="AF18" s="792">
        <f t="shared" si="7"/>
        <v>11527.042500000001</v>
      </c>
      <c r="AG18" s="792">
        <f t="shared" si="7"/>
        <v>11556.675000000001</v>
      </c>
      <c r="AH18" s="792">
        <f t="shared" si="7"/>
        <v>11586.307499999999</v>
      </c>
      <c r="AI18" s="792">
        <f t="shared" si="7"/>
        <v>11615.94</v>
      </c>
      <c r="AJ18" s="792">
        <f t="shared" si="7"/>
        <v>11645.5725</v>
      </c>
      <c r="AK18" s="792">
        <f t="shared" si="7"/>
        <v>11675.205000000002</v>
      </c>
      <c r="AL18" s="792">
        <f t="shared" si="7"/>
        <v>11704.8375</v>
      </c>
      <c r="AM18" s="792">
        <f t="shared" si="7"/>
        <v>11734.47</v>
      </c>
      <c r="AN18" s="792">
        <f t="shared" ref="AN18" si="8">SUM(AN16:AN17)</f>
        <v>11764.102500000001</v>
      </c>
    </row>
    <row r="19" spans="2:40" x14ac:dyDescent="0.25">
      <c r="B19" s="748"/>
      <c r="C19" s="653"/>
      <c r="D19" s="653"/>
      <c r="E19" s="792"/>
      <c r="F19" s="792"/>
      <c r="G19" s="792"/>
      <c r="H19" s="792"/>
      <c r="I19" s="792"/>
      <c r="J19" s="792"/>
      <c r="K19" s="792"/>
      <c r="L19" s="792"/>
      <c r="M19" s="792"/>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792"/>
      <c r="AK19" s="792"/>
      <c r="AL19" s="792"/>
      <c r="AM19" s="792"/>
    </row>
  </sheetData>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O41"/>
  <sheetViews>
    <sheetView showGridLines="0" workbookViewId="0"/>
  </sheetViews>
  <sheetFormatPr defaultRowHeight="14.4" x14ac:dyDescent="0.25"/>
  <cols>
    <col min="1" max="1" width="2.21875" customWidth="1"/>
    <col min="2" max="2" width="42.88671875" bestFit="1" customWidth="1"/>
    <col min="3" max="3" width="11.44140625" customWidth="1"/>
    <col min="4" max="7" width="9.109375" bestFit="1" customWidth="1"/>
    <col min="8" max="8" width="9.88671875" bestFit="1" customWidth="1"/>
    <col min="9" max="9" width="9" customWidth="1"/>
    <col min="10" max="37" width="9.88671875" bestFit="1" customWidth="1"/>
    <col min="38" max="38" width="9.88671875" customWidth="1"/>
    <col min="39" max="39" width="9.109375" bestFit="1" customWidth="1"/>
  </cols>
  <sheetData>
    <row r="1" spans="2:41" ht="9" customHeight="1" x14ac:dyDescent="0.25"/>
    <row r="2" spans="2:41" ht="17.7" x14ac:dyDescent="0.3">
      <c r="B2" s="765" t="s">
        <v>614</v>
      </c>
      <c r="C2" s="2"/>
    </row>
    <row r="3" spans="2:41" x14ac:dyDescent="0.25">
      <c r="C3" s="645" t="s">
        <v>544</v>
      </c>
    </row>
    <row r="4" spans="2:41" x14ac:dyDescent="0.25">
      <c r="C4" s="648">
        <f>Assumptions!$D$10</f>
        <v>2018</v>
      </c>
      <c r="D4" s="672">
        <v>2019</v>
      </c>
      <c r="E4" s="672">
        <f>D4+1</f>
        <v>2020</v>
      </c>
      <c r="F4" s="672">
        <f t="shared" ref="F4:AK4" si="0">E4+1</f>
        <v>2021</v>
      </c>
      <c r="G4" s="672">
        <f t="shared" si="0"/>
        <v>2022</v>
      </c>
      <c r="H4" s="672">
        <f t="shared" si="0"/>
        <v>2023</v>
      </c>
      <c r="I4" s="672">
        <f t="shared" si="0"/>
        <v>2024</v>
      </c>
      <c r="J4" s="672">
        <f t="shared" si="0"/>
        <v>2025</v>
      </c>
      <c r="K4" s="672">
        <f t="shared" si="0"/>
        <v>2026</v>
      </c>
      <c r="L4" s="672">
        <f t="shared" si="0"/>
        <v>2027</v>
      </c>
      <c r="M4" s="672">
        <f t="shared" si="0"/>
        <v>2028</v>
      </c>
      <c r="N4" s="672">
        <f t="shared" si="0"/>
        <v>2029</v>
      </c>
      <c r="O4" s="672">
        <f t="shared" si="0"/>
        <v>2030</v>
      </c>
      <c r="P4" s="672">
        <f t="shared" si="0"/>
        <v>2031</v>
      </c>
      <c r="Q4" s="672">
        <f t="shared" si="0"/>
        <v>2032</v>
      </c>
      <c r="R4" s="672">
        <f t="shared" si="0"/>
        <v>2033</v>
      </c>
      <c r="S4" s="672">
        <f t="shared" si="0"/>
        <v>2034</v>
      </c>
      <c r="T4" s="672">
        <f t="shared" si="0"/>
        <v>2035</v>
      </c>
      <c r="U4" s="672">
        <f t="shared" si="0"/>
        <v>2036</v>
      </c>
      <c r="V4" s="672">
        <f t="shared" si="0"/>
        <v>2037</v>
      </c>
      <c r="W4" s="672">
        <f t="shared" si="0"/>
        <v>2038</v>
      </c>
      <c r="X4" s="672">
        <f t="shared" si="0"/>
        <v>2039</v>
      </c>
      <c r="Y4" s="672">
        <f t="shared" si="0"/>
        <v>2040</v>
      </c>
      <c r="Z4" s="672">
        <f t="shared" si="0"/>
        <v>2041</v>
      </c>
      <c r="AA4" s="672">
        <f t="shared" si="0"/>
        <v>2042</v>
      </c>
      <c r="AB4" s="672">
        <f t="shared" si="0"/>
        <v>2043</v>
      </c>
      <c r="AC4" s="672">
        <f t="shared" si="0"/>
        <v>2044</v>
      </c>
      <c r="AD4" s="672">
        <f t="shared" si="0"/>
        <v>2045</v>
      </c>
      <c r="AE4" s="672">
        <f t="shared" si="0"/>
        <v>2046</v>
      </c>
      <c r="AF4" s="672">
        <f t="shared" si="0"/>
        <v>2047</v>
      </c>
      <c r="AG4" s="672">
        <f t="shared" si="0"/>
        <v>2048</v>
      </c>
      <c r="AH4" s="672">
        <f t="shared" si="0"/>
        <v>2049</v>
      </c>
      <c r="AI4" s="672">
        <f t="shared" si="0"/>
        <v>2050</v>
      </c>
      <c r="AJ4" s="672">
        <f t="shared" si="0"/>
        <v>2051</v>
      </c>
      <c r="AK4" s="672">
        <f t="shared" si="0"/>
        <v>2052</v>
      </c>
      <c r="AL4" s="672">
        <f t="shared" ref="AL4" si="1">AK4+1</f>
        <v>2053</v>
      </c>
      <c r="AM4" s="672">
        <f t="shared" ref="AM4" si="2">AL4+1</f>
        <v>2054</v>
      </c>
    </row>
    <row r="5" spans="2:41" s="657" customFormat="1" x14ac:dyDescent="0.25">
      <c r="B5" s="659" t="s">
        <v>555</v>
      </c>
      <c r="C5" s="658"/>
      <c r="D5" s="673">
        <f>IF(AND(D4&gt;=Assumptions!$D$12,D4&lt;=Assumptions!$D$14),1,0)</f>
        <v>0</v>
      </c>
      <c r="E5" s="673">
        <f>IF(AND(E4&gt;=Assumptions!$D$12,E4&lt;=Assumptions!$D$14),1,0)</f>
        <v>0</v>
      </c>
      <c r="F5" s="673">
        <f>IF(AND(F4&gt;=Assumptions!$D$12,F4&lt;=Assumptions!$D$14),1,0)</f>
        <v>0</v>
      </c>
      <c r="G5" s="673">
        <f>IF(AND(G4&gt;=Assumptions!$D$12,G4&lt;=Assumptions!$D$14),1,0)</f>
        <v>0</v>
      </c>
      <c r="H5" s="673">
        <f>IF(AND(H4&gt;=Assumptions!$D$12,H4&lt;=Assumptions!$D$14),1,0)</f>
        <v>0</v>
      </c>
      <c r="I5" s="673">
        <f>IF(AND(I4&gt;=Assumptions!$D$12,I4&lt;=Assumptions!$D$14),1,0)</f>
        <v>0</v>
      </c>
      <c r="J5" s="673">
        <f>IF(AND(J4&gt;=Assumptions!$D$12,J4&lt;=Assumptions!$D$14),1,0)</f>
        <v>1</v>
      </c>
      <c r="K5" s="673">
        <f>IF(AND(K4&gt;=Assumptions!$D$12,K4&lt;=Assumptions!$D$14),1,0)</f>
        <v>1</v>
      </c>
      <c r="L5" s="673">
        <f>IF(AND(L4&gt;=Assumptions!$D$12,L4&lt;=Assumptions!$D$14),1,0)</f>
        <v>1</v>
      </c>
      <c r="M5" s="673">
        <f>IF(AND(M4&gt;=Assumptions!$D$12,M4&lt;=Assumptions!$D$14),1,0)</f>
        <v>1</v>
      </c>
      <c r="N5" s="673">
        <f>IF(AND(N4&gt;=Assumptions!$D$12,N4&lt;=Assumptions!$D$14),1,0)</f>
        <v>1</v>
      </c>
      <c r="O5" s="673">
        <f>IF(AND(O4&gt;=Assumptions!$D$12,O4&lt;=Assumptions!$D$14),1,0)</f>
        <v>1</v>
      </c>
      <c r="P5" s="673">
        <f>IF(AND(P4&gt;=Assumptions!$D$12,P4&lt;=Assumptions!$D$14),1,0)</f>
        <v>1</v>
      </c>
      <c r="Q5" s="673">
        <f>IF(AND(Q4&gt;=Assumptions!$D$12,Q4&lt;=Assumptions!$D$14),1,0)</f>
        <v>1</v>
      </c>
      <c r="R5" s="673">
        <f>IF(AND(R4&gt;=Assumptions!$D$12,R4&lt;=Assumptions!$D$14),1,0)</f>
        <v>1</v>
      </c>
      <c r="S5" s="673">
        <f>IF(AND(S4&gt;=Assumptions!$D$12,S4&lt;=Assumptions!$D$14),1,0)</f>
        <v>1</v>
      </c>
      <c r="T5" s="673">
        <f>IF(AND(T4&gt;=Assumptions!$D$12,T4&lt;=Assumptions!$D$14),1,0)</f>
        <v>1</v>
      </c>
      <c r="U5" s="673">
        <f>IF(AND(U4&gt;=Assumptions!$D$12,U4&lt;=Assumptions!$D$14),1,0)</f>
        <v>1</v>
      </c>
      <c r="V5" s="673">
        <f>IF(AND(V4&gt;=Assumptions!$D$12,V4&lt;=Assumptions!$D$14),1,0)</f>
        <v>1</v>
      </c>
      <c r="W5" s="673">
        <f>IF(AND(W4&gt;=Assumptions!$D$12,W4&lt;=Assumptions!$D$14),1,0)</f>
        <v>1</v>
      </c>
      <c r="X5" s="673">
        <f>IF(AND(X4&gt;=Assumptions!$D$12,X4&lt;=Assumptions!$D$14),1,0)</f>
        <v>1</v>
      </c>
      <c r="Y5" s="673">
        <f>IF(AND(Y4&gt;=Assumptions!$D$12,Y4&lt;=Assumptions!$D$14),1,0)</f>
        <v>1</v>
      </c>
      <c r="Z5" s="673">
        <f>IF(AND(Z4&gt;=Assumptions!$D$12,Z4&lt;=Assumptions!$D$14),1,0)</f>
        <v>1</v>
      </c>
      <c r="AA5" s="673">
        <f>IF(AND(AA4&gt;=Assumptions!$D$12,AA4&lt;=Assumptions!$D$14),1,0)</f>
        <v>1</v>
      </c>
      <c r="AB5" s="673">
        <f>IF(AND(AB4&gt;=Assumptions!$D$12,AB4&lt;=Assumptions!$D$14),1,0)</f>
        <v>1</v>
      </c>
      <c r="AC5" s="673">
        <f>IF(AND(AC4&gt;=Assumptions!$D$12,AC4&lt;=Assumptions!$D$14),1,0)</f>
        <v>1</v>
      </c>
      <c r="AD5" s="673">
        <f>IF(AND(AD4&gt;=Assumptions!$D$12,AD4&lt;=Assumptions!$D$14),1,0)</f>
        <v>1</v>
      </c>
      <c r="AE5" s="673">
        <f>IF(AND(AE4&gt;=Assumptions!$D$12,AE4&lt;=Assumptions!$D$14),1,0)</f>
        <v>1</v>
      </c>
      <c r="AF5" s="673">
        <f>IF(AND(AF4&gt;=Assumptions!$D$12,AF4&lt;=Assumptions!$D$14),1,0)</f>
        <v>1</v>
      </c>
      <c r="AG5" s="673">
        <f>IF(AND(AG4&gt;=Assumptions!$D$12,AG4&lt;=Assumptions!$D$14),1,0)</f>
        <v>1</v>
      </c>
      <c r="AH5" s="673">
        <f>IF(AND(AH4&gt;=Assumptions!$D$12,AH4&lt;=Assumptions!$D$14),1,0)</f>
        <v>1</v>
      </c>
      <c r="AI5" s="673">
        <f>IF(AND(AI4&gt;=Assumptions!$D$12,AI4&lt;=Assumptions!$D$14),1,0)</f>
        <v>1</v>
      </c>
      <c r="AJ5" s="673">
        <f>IF(AND(AJ4&gt;=Assumptions!$D$12,AJ4&lt;=Assumptions!$D$14),1,0)</f>
        <v>1</v>
      </c>
      <c r="AK5" s="673">
        <f>IF(AND(AK4&gt;=Assumptions!$D$12,AK4&lt;=Assumptions!$D$14),1,0)</f>
        <v>1</v>
      </c>
      <c r="AL5" s="673">
        <f>IF(AND(AL4&gt;=Assumptions!$D$12,AL4&lt;=Assumptions!$D$14),1,0)</f>
        <v>1</v>
      </c>
      <c r="AM5" s="673">
        <f>IF(AND(AM4&gt;=Assumptions!$D$12,AM4&lt;=Assumptions!$D$14),1,0)</f>
        <v>1</v>
      </c>
      <c r="AN5" s="673"/>
      <c r="AO5" s="673"/>
    </row>
    <row r="6" spans="2:41" x14ac:dyDescent="0.25">
      <c r="B6" t="s">
        <v>879</v>
      </c>
      <c r="C6" s="651">
        <f>Assumptions!D50</f>
        <v>0.6</v>
      </c>
    </row>
    <row r="7" spans="2:41" x14ac:dyDescent="0.25">
      <c r="B7" t="s">
        <v>882</v>
      </c>
      <c r="C7" s="651">
        <f>Assumptions!D51</f>
        <v>3</v>
      </c>
    </row>
    <row r="8" spans="2:41" x14ac:dyDescent="0.25">
      <c r="B8" t="s">
        <v>883</v>
      </c>
      <c r="C8" s="775">
        <f>Assumptions!D53</f>
        <v>1.5</v>
      </c>
    </row>
    <row r="9" spans="2:41" x14ac:dyDescent="0.25">
      <c r="B9" t="s">
        <v>884</v>
      </c>
      <c r="C9" s="775">
        <f>Assumptions!D54</f>
        <v>1.6</v>
      </c>
    </row>
    <row r="10" spans="2:41" x14ac:dyDescent="0.25">
      <c r="B10" t="s">
        <v>887</v>
      </c>
      <c r="C10" s="775">
        <f>Assumptions!D52</f>
        <v>0.98</v>
      </c>
    </row>
    <row r="12" spans="2:41" x14ac:dyDescent="0.25">
      <c r="B12" t="s">
        <v>888</v>
      </c>
      <c r="C12" s="819">
        <f>Assumptions!D92</f>
        <v>174000</v>
      </c>
    </row>
    <row r="13" spans="2:41" x14ac:dyDescent="0.25">
      <c r="B13" t="s">
        <v>889</v>
      </c>
      <c r="C13" s="819">
        <f>Assumptions!D93</f>
        <v>4300</v>
      </c>
    </row>
    <row r="14" spans="2:41" x14ac:dyDescent="0.25">
      <c r="I14" s="917"/>
    </row>
    <row r="15" spans="2:41" x14ac:dyDescent="0.25">
      <c r="B15" s="642" t="s">
        <v>550</v>
      </c>
      <c r="C15" s="3" t="s">
        <v>0</v>
      </c>
      <c r="D15" s="672">
        <v>2019</v>
      </c>
      <c r="E15" s="672">
        <f>D15+1</f>
        <v>2020</v>
      </c>
      <c r="F15" s="672">
        <f t="shared" ref="F15:AK15" si="3">E15+1</f>
        <v>2021</v>
      </c>
      <c r="G15" s="672">
        <f t="shared" si="3"/>
        <v>2022</v>
      </c>
      <c r="H15" s="672">
        <f t="shared" si="3"/>
        <v>2023</v>
      </c>
      <c r="I15" s="672">
        <f t="shared" si="3"/>
        <v>2024</v>
      </c>
      <c r="J15" s="672">
        <f t="shared" si="3"/>
        <v>2025</v>
      </c>
      <c r="K15" s="672">
        <f t="shared" si="3"/>
        <v>2026</v>
      </c>
      <c r="L15" s="672">
        <f t="shared" si="3"/>
        <v>2027</v>
      </c>
      <c r="M15" s="672">
        <f t="shared" si="3"/>
        <v>2028</v>
      </c>
      <c r="N15" s="672">
        <f t="shared" si="3"/>
        <v>2029</v>
      </c>
      <c r="O15" s="672">
        <f t="shared" si="3"/>
        <v>2030</v>
      </c>
      <c r="P15" s="672">
        <f t="shared" si="3"/>
        <v>2031</v>
      </c>
      <c r="Q15" s="672">
        <f t="shared" si="3"/>
        <v>2032</v>
      </c>
      <c r="R15" s="672">
        <f t="shared" si="3"/>
        <v>2033</v>
      </c>
      <c r="S15" s="672">
        <f t="shared" si="3"/>
        <v>2034</v>
      </c>
      <c r="T15" s="672">
        <f t="shared" si="3"/>
        <v>2035</v>
      </c>
      <c r="U15" s="672">
        <f t="shared" si="3"/>
        <v>2036</v>
      </c>
      <c r="V15" s="672">
        <f t="shared" si="3"/>
        <v>2037</v>
      </c>
      <c r="W15" s="672">
        <f t="shared" si="3"/>
        <v>2038</v>
      </c>
      <c r="X15" s="672">
        <f t="shared" si="3"/>
        <v>2039</v>
      </c>
      <c r="Y15" s="672">
        <f t="shared" si="3"/>
        <v>2040</v>
      </c>
      <c r="Z15" s="672">
        <f t="shared" si="3"/>
        <v>2041</v>
      </c>
      <c r="AA15" s="672">
        <f t="shared" si="3"/>
        <v>2042</v>
      </c>
      <c r="AB15" s="672">
        <f t="shared" si="3"/>
        <v>2043</v>
      </c>
      <c r="AC15" s="672">
        <f t="shared" si="3"/>
        <v>2044</v>
      </c>
      <c r="AD15" s="672">
        <f t="shared" si="3"/>
        <v>2045</v>
      </c>
      <c r="AE15" s="672">
        <f t="shared" si="3"/>
        <v>2046</v>
      </c>
      <c r="AF15" s="672">
        <f t="shared" si="3"/>
        <v>2047</v>
      </c>
      <c r="AG15" s="672">
        <f t="shared" si="3"/>
        <v>2048</v>
      </c>
      <c r="AH15" s="672">
        <f t="shared" si="3"/>
        <v>2049</v>
      </c>
      <c r="AI15" s="672">
        <f t="shared" si="3"/>
        <v>2050</v>
      </c>
      <c r="AJ15" s="672">
        <f t="shared" si="3"/>
        <v>2051</v>
      </c>
      <c r="AK15" s="672">
        <f t="shared" si="3"/>
        <v>2052</v>
      </c>
      <c r="AL15" s="672">
        <f t="shared" ref="AL15" si="4">AK15+1</f>
        <v>2053</v>
      </c>
      <c r="AM15" s="672">
        <f t="shared" ref="AM15" si="5">AL15+1</f>
        <v>2054</v>
      </c>
    </row>
    <row r="17" spans="2:39" x14ac:dyDescent="0.25">
      <c r="B17" t="s">
        <v>890</v>
      </c>
      <c r="C17" t="s">
        <v>881</v>
      </c>
      <c r="D17" s="934">
        <f>$C$6*D5</f>
        <v>0</v>
      </c>
      <c r="E17" s="934">
        <f t="shared" ref="E17:AK17" si="6">$C$6*E5</f>
        <v>0</v>
      </c>
      <c r="F17" s="934">
        <f t="shared" si="6"/>
        <v>0</v>
      </c>
      <c r="G17" s="934">
        <f t="shared" si="6"/>
        <v>0</v>
      </c>
      <c r="H17" s="934">
        <f t="shared" si="6"/>
        <v>0</v>
      </c>
      <c r="I17" s="934">
        <f t="shared" si="6"/>
        <v>0</v>
      </c>
      <c r="J17" s="934">
        <f t="shared" si="6"/>
        <v>0.6</v>
      </c>
      <c r="K17" s="934">
        <f t="shared" si="6"/>
        <v>0.6</v>
      </c>
      <c r="L17" s="934">
        <f t="shared" si="6"/>
        <v>0.6</v>
      </c>
      <c r="M17" s="934">
        <f t="shared" si="6"/>
        <v>0.6</v>
      </c>
      <c r="N17" s="934">
        <f t="shared" si="6"/>
        <v>0.6</v>
      </c>
      <c r="O17" s="934">
        <f t="shared" si="6"/>
        <v>0.6</v>
      </c>
      <c r="P17" s="934">
        <f t="shared" si="6"/>
        <v>0.6</v>
      </c>
      <c r="Q17" s="934">
        <f t="shared" si="6"/>
        <v>0.6</v>
      </c>
      <c r="R17" s="934">
        <f t="shared" si="6"/>
        <v>0.6</v>
      </c>
      <c r="S17" s="934">
        <f t="shared" si="6"/>
        <v>0.6</v>
      </c>
      <c r="T17" s="934">
        <f t="shared" si="6"/>
        <v>0.6</v>
      </c>
      <c r="U17" s="934">
        <f t="shared" si="6"/>
        <v>0.6</v>
      </c>
      <c r="V17" s="934">
        <f t="shared" si="6"/>
        <v>0.6</v>
      </c>
      <c r="W17" s="934">
        <f t="shared" si="6"/>
        <v>0.6</v>
      </c>
      <c r="X17" s="934">
        <f t="shared" si="6"/>
        <v>0.6</v>
      </c>
      <c r="Y17" s="934">
        <f t="shared" si="6"/>
        <v>0.6</v>
      </c>
      <c r="Z17" s="934">
        <f t="shared" si="6"/>
        <v>0.6</v>
      </c>
      <c r="AA17" s="934">
        <f t="shared" si="6"/>
        <v>0.6</v>
      </c>
      <c r="AB17" s="934">
        <f t="shared" si="6"/>
        <v>0.6</v>
      </c>
      <c r="AC17" s="934">
        <f t="shared" si="6"/>
        <v>0.6</v>
      </c>
      <c r="AD17" s="934">
        <f t="shared" si="6"/>
        <v>0.6</v>
      </c>
      <c r="AE17" s="934">
        <f t="shared" si="6"/>
        <v>0.6</v>
      </c>
      <c r="AF17" s="934">
        <f t="shared" si="6"/>
        <v>0.6</v>
      </c>
      <c r="AG17" s="934">
        <f t="shared" si="6"/>
        <v>0.6</v>
      </c>
      <c r="AH17" s="934">
        <f t="shared" si="6"/>
        <v>0.6</v>
      </c>
      <c r="AI17" s="934">
        <f t="shared" si="6"/>
        <v>0.6</v>
      </c>
      <c r="AJ17" s="934">
        <f t="shared" si="6"/>
        <v>0.6</v>
      </c>
      <c r="AK17" s="934">
        <f t="shared" si="6"/>
        <v>0.6</v>
      </c>
      <c r="AL17" s="934">
        <f t="shared" ref="AL17:AM17" si="7">$C$6*AL5</f>
        <v>0.6</v>
      </c>
      <c r="AM17" s="934">
        <f t="shared" si="7"/>
        <v>0.6</v>
      </c>
    </row>
    <row r="18" spans="2:39" x14ac:dyDescent="0.25">
      <c r="B18" t="s">
        <v>891</v>
      </c>
      <c r="C18" t="s">
        <v>881</v>
      </c>
      <c r="D18" s="934">
        <f>$C$7*D5</f>
        <v>0</v>
      </c>
      <c r="E18" s="934">
        <f t="shared" ref="E18:AK18" si="8">$C$7*E5</f>
        <v>0</v>
      </c>
      <c r="F18" s="934">
        <f t="shared" si="8"/>
        <v>0</v>
      </c>
      <c r="G18" s="934">
        <f t="shared" si="8"/>
        <v>0</v>
      </c>
      <c r="H18" s="934">
        <f t="shared" si="8"/>
        <v>0</v>
      </c>
      <c r="I18" s="934">
        <f t="shared" si="8"/>
        <v>0</v>
      </c>
      <c r="J18" s="934">
        <f t="shared" si="8"/>
        <v>3</v>
      </c>
      <c r="K18" s="934">
        <f t="shared" si="8"/>
        <v>3</v>
      </c>
      <c r="L18" s="934">
        <f t="shared" si="8"/>
        <v>3</v>
      </c>
      <c r="M18" s="934">
        <f t="shared" si="8"/>
        <v>3</v>
      </c>
      <c r="N18" s="934">
        <f t="shared" si="8"/>
        <v>3</v>
      </c>
      <c r="O18" s="934">
        <f t="shared" si="8"/>
        <v>3</v>
      </c>
      <c r="P18" s="934">
        <f t="shared" si="8"/>
        <v>3</v>
      </c>
      <c r="Q18" s="934">
        <f t="shared" si="8"/>
        <v>3</v>
      </c>
      <c r="R18" s="934">
        <f t="shared" si="8"/>
        <v>3</v>
      </c>
      <c r="S18" s="934">
        <f t="shared" si="8"/>
        <v>3</v>
      </c>
      <c r="T18" s="934">
        <f t="shared" si="8"/>
        <v>3</v>
      </c>
      <c r="U18" s="934">
        <f t="shared" si="8"/>
        <v>3</v>
      </c>
      <c r="V18" s="934">
        <f t="shared" si="8"/>
        <v>3</v>
      </c>
      <c r="W18" s="934">
        <f t="shared" si="8"/>
        <v>3</v>
      </c>
      <c r="X18" s="934">
        <f t="shared" si="8"/>
        <v>3</v>
      </c>
      <c r="Y18" s="934">
        <f t="shared" si="8"/>
        <v>3</v>
      </c>
      <c r="Z18" s="934">
        <f t="shared" si="8"/>
        <v>3</v>
      </c>
      <c r="AA18" s="934">
        <f t="shared" si="8"/>
        <v>3</v>
      </c>
      <c r="AB18" s="934">
        <f t="shared" si="8"/>
        <v>3</v>
      </c>
      <c r="AC18" s="934">
        <f t="shared" si="8"/>
        <v>3</v>
      </c>
      <c r="AD18" s="934">
        <f t="shared" si="8"/>
        <v>3</v>
      </c>
      <c r="AE18" s="934">
        <f t="shared" si="8"/>
        <v>3</v>
      </c>
      <c r="AF18" s="934">
        <f t="shared" si="8"/>
        <v>3</v>
      </c>
      <c r="AG18" s="934">
        <f t="shared" si="8"/>
        <v>3</v>
      </c>
      <c r="AH18" s="934">
        <f t="shared" si="8"/>
        <v>3</v>
      </c>
      <c r="AI18" s="934">
        <f t="shared" si="8"/>
        <v>3</v>
      </c>
      <c r="AJ18" s="934">
        <f t="shared" si="8"/>
        <v>3</v>
      </c>
      <c r="AK18" s="934">
        <f t="shared" si="8"/>
        <v>3</v>
      </c>
      <c r="AL18" s="934">
        <f t="shared" ref="AL18:AM18" si="9">$C$7*AL5</f>
        <v>3</v>
      </c>
      <c r="AM18" s="934">
        <f t="shared" si="9"/>
        <v>3</v>
      </c>
    </row>
    <row r="20" spans="2:39" x14ac:dyDescent="0.25">
      <c r="B20" t="s">
        <v>892</v>
      </c>
      <c r="C20" t="s">
        <v>894</v>
      </c>
      <c r="D20" s="934">
        <f>D17*$C$8</f>
        <v>0</v>
      </c>
      <c r="E20" s="934">
        <f t="shared" ref="E20:AK20" si="10">E17*$C$8</f>
        <v>0</v>
      </c>
      <c r="F20" s="934">
        <f t="shared" si="10"/>
        <v>0</v>
      </c>
      <c r="G20" s="934">
        <f t="shared" si="10"/>
        <v>0</v>
      </c>
      <c r="H20" s="934">
        <f t="shared" si="10"/>
        <v>0</v>
      </c>
      <c r="I20" s="934">
        <f t="shared" si="10"/>
        <v>0</v>
      </c>
      <c r="J20" s="934">
        <f t="shared" si="10"/>
        <v>0.89999999999999991</v>
      </c>
      <c r="K20" s="934">
        <f t="shared" si="10"/>
        <v>0.89999999999999991</v>
      </c>
      <c r="L20" s="934">
        <f t="shared" si="10"/>
        <v>0.89999999999999991</v>
      </c>
      <c r="M20" s="934">
        <f t="shared" si="10"/>
        <v>0.89999999999999991</v>
      </c>
      <c r="N20" s="934">
        <f t="shared" si="10"/>
        <v>0.89999999999999991</v>
      </c>
      <c r="O20" s="934">
        <f t="shared" si="10"/>
        <v>0.89999999999999991</v>
      </c>
      <c r="P20" s="934">
        <f t="shared" si="10"/>
        <v>0.89999999999999991</v>
      </c>
      <c r="Q20" s="934">
        <f t="shared" si="10"/>
        <v>0.89999999999999991</v>
      </c>
      <c r="R20" s="934">
        <f t="shared" si="10"/>
        <v>0.89999999999999991</v>
      </c>
      <c r="S20" s="934">
        <f t="shared" si="10"/>
        <v>0.89999999999999991</v>
      </c>
      <c r="T20" s="934">
        <f t="shared" si="10"/>
        <v>0.89999999999999991</v>
      </c>
      <c r="U20" s="934">
        <f t="shared" si="10"/>
        <v>0.89999999999999991</v>
      </c>
      <c r="V20" s="934">
        <f t="shared" si="10"/>
        <v>0.89999999999999991</v>
      </c>
      <c r="W20" s="934">
        <f t="shared" si="10"/>
        <v>0.89999999999999991</v>
      </c>
      <c r="X20" s="934">
        <f t="shared" si="10"/>
        <v>0.89999999999999991</v>
      </c>
      <c r="Y20" s="934">
        <f t="shared" si="10"/>
        <v>0.89999999999999991</v>
      </c>
      <c r="Z20" s="934">
        <f t="shared" si="10"/>
        <v>0.89999999999999991</v>
      </c>
      <c r="AA20" s="934">
        <f t="shared" si="10"/>
        <v>0.89999999999999991</v>
      </c>
      <c r="AB20" s="934">
        <f t="shared" si="10"/>
        <v>0.89999999999999991</v>
      </c>
      <c r="AC20" s="934">
        <f t="shared" si="10"/>
        <v>0.89999999999999991</v>
      </c>
      <c r="AD20" s="934">
        <f t="shared" si="10"/>
        <v>0.89999999999999991</v>
      </c>
      <c r="AE20" s="934">
        <f t="shared" si="10"/>
        <v>0.89999999999999991</v>
      </c>
      <c r="AF20" s="934">
        <f t="shared" si="10"/>
        <v>0.89999999999999991</v>
      </c>
      <c r="AG20" s="934">
        <f t="shared" si="10"/>
        <v>0.89999999999999991</v>
      </c>
      <c r="AH20" s="934">
        <f t="shared" si="10"/>
        <v>0.89999999999999991</v>
      </c>
      <c r="AI20" s="934">
        <f t="shared" si="10"/>
        <v>0.89999999999999991</v>
      </c>
      <c r="AJ20" s="934">
        <f t="shared" si="10"/>
        <v>0.89999999999999991</v>
      </c>
      <c r="AK20" s="934">
        <f t="shared" si="10"/>
        <v>0.89999999999999991</v>
      </c>
      <c r="AL20" s="934">
        <f t="shared" ref="AL20:AM20" si="11">AL17*$C$8</f>
        <v>0.89999999999999991</v>
      </c>
      <c r="AM20" s="934">
        <f t="shared" si="11"/>
        <v>0.89999999999999991</v>
      </c>
    </row>
    <row r="21" spans="2:39" x14ac:dyDescent="0.25">
      <c r="B21" t="s">
        <v>893</v>
      </c>
      <c r="C21" t="s">
        <v>895</v>
      </c>
      <c r="D21" s="934">
        <f>D18*$C$9</f>
        <v>0</v>
      </c>
      <c r="E21" s="934">
        <f t="shared" ref="E21:AK21" si="12">E18*$C$9</f>
        <v>0</v>
      </c>
      <c r="F21" s="934">
        <f t="shared" si="12"/>
        <v>0</v>
      </c>
      <c r="G21" s="934">
        <f t="shared" si="12"/>
        <v>0</v>
      </c>
      <c r="H21" s="934">
        <f t="shared" si="12"/>
        <v>0</v>
      </c>
      <c r="I21" s="934">
        <f t="shared" si="12"/>
        <v>0</v>
      </c>
      <c r="J21" s="934">
        <f t="shared" si="12"/>
        <v>4.8000000000000007</v>
      </c>
      <c r="K21" s="934">
        <f t="shared" si="12"/>
        <v>4.8000000000000007</v>
      </c>
      <c r="L21" s="934">
        <f t="shared" si="12"/>
        <v>4.8000000000000007</v>
      </c>
      <c r="M21" s="934">
        <f t="shared" si="12"/>
        <v>4.8000000000000007</v>
      </c>
      <c r="N21" s="934">
        <f t="shared" si="12"/>
        <v>4.8000000000000007</v>
      </c>
      <c r="O21" s="934">
        <f t="shared" si="12"/>
        <v>4.8000000000000007</v>
      </c>
      <c r="P21" s="934">
        <f t="shared" si="12"/>
        <v>4.8000000000000007</v>
      </c>
      <c r="Q21" s="934">
        <f t="shared" si="12"/>
        <v>4.8000000000000007</v>
      </c>
      <c r="R21" s="934">
        <f t="shared" si="12"/>
        <v>4.8000000000000007</v>
      </c>
      <c r="S21" s="934">
        <f t="shared" si="12"/>
        <v>4.8000000000000007</v>
      </c>
      <c r="T21" s="934">
        <f t="shared" si="12"/>
        <v>4.8000000000000007</v>
      </c>
      <c r="U21" s="934">
        <f t="shared" si="12"/>
        <v>4.8000000000000007</v>
      </c>
      <c r="V21" s="934">
        <f t="shared" si="12"/>
        <v>4.8000000000000007</v>
      </c>
      <c r="W21" s="934">
        <f t="shared" si="12"/>
        <v>4.8000000000000007</v>
      </c>
      <c r="X21" s="934">
        <f t="shared" si="12"/>
        <v>4.8000000000000007</v>
      </c>
      <c r="Y21" s="934">
        <f t="shared" si="12"/>
        <v>4.8000000000000007</v>
      </c>
      <c r="Z21" s="934">
        <f t="shared" si="12"/>
        <v>4.8000000000000007</v>
      </c>
      <c r="AA21" s="934">
        <f t="shared" si="12"/>
        <v>4.8000000000000007</v>
      </c>
      <c r="AB21" s="934">
        <f t="shared" si="12"/>
        <v>4.8000000000000007</v>
      </c>
      <c r="AC21" s="934">
        <f t="shared" si="12"/>
        <v>4.8000000000000007</v>
      </c>
      <c r="AD21" s="934">
        <f t="shared" si="12"/>
        <v>4.8000000000000007</v>
      </c>
      <c r="AE21" s="934">
        <f t="shared" si="12"/>
        <v>4.8000000000000007</v>
      </c>
      <c r="AF21" s="934">
        <f t="shared" si="12"/>
        <v>4.8000000000000007</v>
      </c>
      <c r="AG21" s="934">
        <f t="shared" si="12"/>
        <v>4.8000000000000007</v>
      </c>
      <c r="AH21" s="934">
        <f t="shared" si="12"/>
        <v>4.8000000000000007</v>
      </c>
      <c r="AI21" s="934">
        <f t="shared" si="12"/>
        <v>4.8000000000000007</v>
      </c>
      <c r="AJ21" s="934">
        <f t="shared" si="12"/>
        <v>4.8000000000000007</v>
      </c>
      <c r="AK21" s="934">
        <f t="shared" si="12"/>
        <v>4.8000000000000007</v>
      </c>
      <c r="AL21" s="934">
        <f t="shared" ref="AL21:AM21" si="13">AL18*$C$9</f>
        <v>4.8000000000000007</v>
      </c>
      <c r="AM21" s="934">
        <f t="shared" si="13"/>
        <v>4.8000000000000007</v>
      </c>
    </row>
    <row r="23" spans="2:39" x14ac:dyDescent="0.25">
      <c r="B23" t="s">
        <v>896</v>
      </c>
      <c r="C23" s="2" t="s">
        <v>12</v>
      </c>
      <c r="D23" s="788">
        <f>D20*$C$12</f>
        <v>0</v>
      </c>
      <c r="E23" s="788">
        <f t="shared" ref="E23:AK23" si="14">E20*$C$12</f>
        <v>0</v>
      </c>
      <c r="F23" s="788">
        <f t="shared" si="14"/>
        <v>0</v>
      </c>
      <c r="G23" s="788">
        <f t="shared" si="14"/>
        <v>0</v>
      </c>
      <c r="H23" s="788">
        <f t="shared" si="14"/>
        <v>0</v>
      </c>
      <c r="I23" s="788">
        <f t="shared" si="14"/>
        <v>0</v>
      </c>
      <c r="J23" s="788">
        <f t="shared" si="14"/>
        <v>156599.99999999997</v>
      </c>
      <c r="K23" s="788">
        <f t="shared" si="14"/>
        <v>156599.99999999997</v>
      </c>
      <c r="L23" s="788">
        <f t="shared" si="14"/>
        <v>156599.99999999997</v>
      </c>
      <c r="M23" s="788">
        <f t="shared" si="14"/>
        <v>156599.99999999997</v>
      </c>
      <c r="N23" s="788">
        <f t="shared" si="14"/>
        <v>156599.99999999997</v>
      </c>
      <c r="O23" s="788">
        <f t="shared" si="14"/>
        <v>156599.99999999997</v>
      </c>
      <c r="P23" s="788">
        <f t="shared" si="14"/>
        <v>156599.99999999997</v>
      </c>
      <c r="Q23" s="788">
        <f t="shared" si="14"/>
        <v>156599.99999999997</v>
      </c>
      <c r="R23" s="788">
        <f t="shared" si="14"/>
        <v>156599.99999999997</v>
      </c>
      <c r="S23" s="788">
        <f t="shared" si="14"/>
        <v>156599.99999999997</v>
      </c>
      <c r="T23" s="788">
        <f t="shared" si="14"/>
        <v>156599.99999999997</v>
      </c>
      <c r="U23" s="788">
        <f t="shared" si="14"/>
        <v>156599.99999999997</v>
      </c>
      <c r="V23" s="788">
        <f t="shared" si="14"/>
        <v>156599.99999999997</v>
      </c>
      <c r="W23" s="788">
        <f t="shared" si="14"/>
        <v>156599.99999999997</v>
      </c>
      <c r="X23" s="788">
        <f t="shared" si="14"/>
        <v>156599.99999999997</v>
      </c>
      <c r="Y23" s="788">
        <f t="shared" si="14"/>
        <v>156599.99999999997</v>
      </c>
      <c r="Z23" s="788">
        <f t="shared" si="14"/>
        <v>156599.99999999997</v>
      </c>
      <c r="AA23" s="788">
        <f t="shared" si="14"/>
        <v>156599.99999999997</v>
      </c>
      <c r="AB23" s="788">
        <f t="shared" si="14"/>
        <v>156599.99999999997</v>
      </c>
      <c r="AC23" s="788">
        <f t="shared" si="14"/>
        <v>156599.99999999997</v>
      </c>
      <c r="AD23" s="788">
        <f t="shared" si="14"/>
        <v>156599.99999999997</v>
      </c>
      <c r="AE23" s="788">
        <f t="shared" si="14"/>
        <v>156599.99999999997</v>
      </c>
      <c r="AF23" s="788">
        <f t="shared" si="14"/>
        <v>156599.99999999997</v>
      </c>
      <c r="AG23" s="788">
        <f t="shared" si="14"/>
        <v>156599.99999999997</v>
      </c>
      <c r="AH23" s="788">
        <f t="shared" si="14"/>
        <v>156599.99999999997</v>
      </c>
      <c r="AI23" s="788">
        <f t="shared" si="14"/>
        <v>156599.99999999997</v>
      </c>
      <c r="AJ23" s="788">
        <f t="shared" si="14"/>
        <v>156599.99999999997</v>
      </c>
      <c r="AK23" s="788">
        <f t="shared" si="14"/>
        <v>156599.99999999997</v>
      </c>
      <c r="AL23" s="788">
        <f t="shared" ref="AL23:AM23" si="15">AL20*$C$12</f>
        <v>156599.99999999997</v>
      </c>
      <c r="AM23" s="788">
        <f t="shared" si="15"/>
        <v>156599.99999999997</v>
      </c>
    </row>
    <row r="24" spans="2:39" x14ac:dyDescent="0.25">
      <c r="B24" t="s">
        <v>897</v>
      </c>
      <c r="C24" s="2" t="s">
        <v>12</v>
      </c>
      <c r="D24" s="788">
        <f>D21*$C$13</f>
        <v>0</v>
      </c>
      <c r="E24" s="788">
        <f t="shared" ref="E24:AK24" si="16">E21*$C$13</f>
        <v>0</v>
      </c>
      <c r="F24" s="788">
        <f t="shared" si="16"/>
        <v>0</v>
      </c>
      <c r="G24" s="788">
        <f t="shared" si="16"/>
        <v>0</v>
      </c>
      <c r="H24" s="788">
        <f t="shared" si="16"/>
        <v>0</v>
      </c>
      <c r="I24" s="788">
        <f t="shared" si="16"/>
        <v>0</v>
      </c>
      <c r="J24" s="788">
        <f t="shared" si="16"/>
        <v>20640.000000000004</v>
      </c>
      <c r="K24" s="788">
        <f t="shared" si="16"/>
        <v>20640.000000000004</v>
      </c>
      <c r="L24" s="788">
        <f t="shared" si="16"/>
        <v>20640.000000000004</v>
      </c>
      <c r="M24" s="788">
        <f t="shared" si="16"/>
        <v>20640.000000000004</v>
      </c>
      <c r="N24" s="788">
        <f t="shared" si="16"/>
        <v>20640.000000000004</v>
      </c>
      <c r="O24" s="788">
        <f t="shared" si="16"/>
        <v>20640.000000000004</v>
      </c>
      <c r="P24" s="788">
        <f t="shared" si="16"/>
        <v>20640.000000000004</v>
      </c>
      <c r="Q24" s="788">
        <f t="shared" si="16"/>
        <v>20640.000000000004</v>
      </c>
      <c r="R24" s="788">
        <f t="shared" si="16"/>
        <v>20640.000000000004</v>
      </c>
      <c r="S24" s="788">
        <f t="shared" si="16"/>
        <v>20640.000000000004</v>
      </c>
      <c r="T24" s="788">
        <f t="shared" si="16"/>
        <v>20640.000000000004</v>
      </c>
      <c r="U24" s="788">
        <f t="shared" si="16"/>
        <v>20640.000000000004</v>
      </c>
      <c r="V24" s="788">
        <f t="shared" si="16"/>
        <v>20640.000000000004</v>
      </c>
      <c r="W24" s="788">
        <f t="shared" si="16"/>
        <v>20640.000000000004</v>
      </c>
      <c r="X24" s="788">
        <f t="shared" si="16"/>
        <v>20640.000000000004</v>
      </c>
      <c r="Y24" s="788">
        <f t="shared" si="16"/>
        <v>20640.000000000004</v>
      </c>
      <c r="Z24" s="788">
        <f t="shared" si="16"/>
        <v>20640.000000000004</v>
      </c>
      <c r="AA24" s="788">
        <f t="shared" si="16"/>
        <v>20640.000000000004</v>
      </c>
      <c r="AB24" s="788">
        <f t="shared" si="16"/>
        <v>20640.000000000004</v>
      </c>
      <c r="AC24" s="788">
        <f t="shared" si="16"/>
        <v>20640.000000000004</v>
      </c>
      <c r="AD24" s="788">
        <f t="shared" si="16"/>
        <v>20640.000000000004</v>
      </c>
      <c r="AE24" s="788">
        <f t="shared" si="16"/>
        <v>20640.000000000004</v>
      </c>
      <c r="AF24" s="788">
        <f t="shared" si="16"/>
        <v>20640.000000000004</v>
      </c>
      <c r="AG24" s="788">
        <f t="shared" si="16"/>
        <v>20640.000000000004</v>
      </c>
      <c r="AH24" s="788">
        <f t="shared" si="16"/>
        <v>20640.000000000004</v>
      </c>
      <c r="AI24" s="788">
        <f t="shared" si="16"/>
        <v>20640.000000000004</v>
      </c>
      <c r="AJ24" s="788">
        <f t="shared" si="16"/>
        <v>20640.000000000004</v>
      </c>
      <c r="AK24" s="788">
        <f t="shared" si="16"/>
        <v>20640.000000000004</v>
      </c>
      <c r="AL24" s="788">
        <f t="shared" ref="AL24:AM24" si="17">AL21*$C$13</f>
        <v>20640.000000000004</v>
      </c>
      <c r="AM24" s="788">
        <f t="shared" si="17"/>
        <v>20640.000000000004</v>
      </c>
    </row>
    <row r="26" spans="2:39" x14ac:dyDescent="0.25">
      <c r="B26" s="642" t="s">
        <v>551</v>
      </c>
      <c r="C26" s="3" t="s">
        <v>0</v>
      </c>
      <c r="D26" s="672">
        <v>2019</v>
      </c>
      <c r="E26" s="672">
        <f>D26+1</f>
        <v>2020</v>
      </c>
      <c r="F26" s="672">
        <f t="shared" ref="F26:AK26" si="18">E26+1</f>
        <v>2021</v>
      </c>
      <c r="G26" s="672">
        <f t="shared" si="18"/>
        <v>2022</v>
      </c>
      <c r="H26" s="672">
        <f t="shared" si="18"/>
        <v>2023</v>
      </c>
      <c r="I26" s="672">
        <f t="shared" si="18"/>
        <v>2024</v>
      </c>
      <c r="J26" s="672">
        <f t="shared" si="18"/>
        <v>2025</v>
      </c>
      <c r="K26" s="672">
        <f t="shared" si="18"/>
        <v>2026</v>
      </c>
      <c r="L26" s="672">
        <f t="shared" si="18"/>
        <v>2027</v>
      </c>
      <c r="M26" s="672">
        <f t="shared" si="18"/>
        <v>2028</v>
      </c>
      <c r="N26" s="672">
        <f t="shared" si="18"/>
        <v>2029</v>
      </c>
      <c r="O26" s="672">
        <f t="shared" si="18"/>
        <v>2030</v>
      </c>
      <c r="P26" s="672">
        <f t="shared" si="18"/>
        <v>2031</v>
      </c>
      <c r="Q26" s="672">
        <f t="shared" si="18"/>
        <v>2032</v>
      </c>
      <c r="R26" s="672">
        <f t="shared" si="18"/>
        <v>2033</v>
      </c>
      <c r="S26" s="672">
        <f t="shared" si="18"/>
        <v>2034</v>
      </c>
      <c r="T26" s="672">
        <f t="shared" si="18"/>
        <v>2035</v>
      </c>
      <c r="U26" s="672">
        <f t="shared" si="18"/>
        <v>2036</v>
      </c>
      <c r="V26" s="672">
        <f t="shared" si="18"/>
        <v>2037</v>
      </c>
      <c r="W26" s="672">
        <f t="shared" si="18"/>
        <v>2038</v>
      </c>
      <c r="X26" s="672">
        <f t="shared" si="18"/>
        <v>2039</v>
      </c>
      <c r="Y26" s="672">
        <f t="shared" si="18"/>
        <v>2040</v>
      </c>
      <c r="Z26" s="672">
        <f t="shared" si="18"/>
        <v>2041</v>
      </c>
      <c r="AA26" s="672">
        <f t="shared" si="18"/>
        <v>2042</v>
      </c>
      <c r="AB26" s="672">
        <f t="shared" si="18"/>
        <v>2043</v>
      </c>
      <c r="AC26" s="672">
        <f t="shared" si="18"/>
        <v>2044</v>
      </c>
      <c r="AD26" s="672">
        <f t="shared" si="18"/>
        <v>2045</v>
      </c>
      <c r="AE26" s="672">
        <f t="shared" si="18"/>
        <v>2046</v>
      </c>
      <c r="AF26" s="672">
        <f t="shared" si="18"/>
        <v>2047</v>
      </c>
      <c r="AG26" s="672">
        <f t="shared" si="18"/>
        <v>2048</v>
      </c>
      <c r="AH26" s="672">
        <f t="shared" si="18"/>
        <v>2049</v>
      </c>
      <c r="AI26" s="672">
        <f t="shared" si="18"/>
        <v>2050</v>
      </c>
      <c r="AJ26" s="672">
        <f t="shared" si="18"/>
        <v>2051</v>
      </c>
      <c r="AK26" s="672">
        <f t="shared" si="18"/>
        <v>2052</v>
      </c>
      <c r="AL26" s="672">
        <f t="shared" ref="AL26" si="19">AK26+1</f>
        <v>2053</v>
      </c>
      <c r="AM26" s="672">
        <f t="shared" ref="AM26" si="20">AL26+1</f>
        <v>2054</v>
      </c>
    </row>
    <row r="28" spans="2:39" x14ac:dyDescent="0.25">
      <c r="B28" t="s">
        <v>890</v>
      </c>
      <c r="C28" t="s">
        <v>881</v>
      </c>
      <c r="D28" s="934">
        <f>$C$6*D5*$C$10</f>
        <v>0</v>
      </c>
      <c r="E28" s="934">
        <f t="shared" ref="E28:AK28" si="21">$C$6*E5*$C$10</f>
        <v>0</v>
      </c>
      <c r="F28" s="934">
        <f t="shared" si="21"/>
        <v>0</v>
      </c>
      <c r="G28" s="934">
        <f t="shared" si="21"/>
        <v>0</v>
      </c>
      <c r="H28" s="934">
        <f t="shared" si="21"/>
        <v>0</v>
      </c>
      <c r="I28" s="934">
        <f t="shared" si="21"/>
        <v>0</v>
      </c>
      <c r="J28" s="934">
        <f t="shared" si="21"/>
        <v>0.58799999999999997</v>
      </c>
      <c r="K28" s="934">
        <f t="shared" si="21"/>
        <v>0.58799999999999997</v>
      </c>
      <c r="L28" s="934">
        <f t="shared" si="21"/>
        <v>0.58799999999999997</v>
      </c>
      <c r="M28" s="934">
        <f t="shared" si="21"/>
        <v>0.58799999999999997</v>
      </c>
      <c r="N28" s="934">
        <f t="shared" si="21"/>
        <v>0.58799999999999997</v>
      </c>
      <c r="O28" s="934">
        <f t="shared" si="21"/>
        <v>0.58799999999999997</v>
      </c>
      <c r="P28" s="934">
        <f t="shared" si="21"/>
        <v>0.58799999999999997</v>
      </c>
      <c r="Q28" s="934">
        <f t="shared" si="21"/>
        <v>0.58799999999999997</v>
      </c>
      <c r="R28" s="934">
        <f t="shared" si="21"/>
        <v>0.58799999999999997</v>
      </c>
      <c r="S28" s="934">
        <f t="shared" si="21"/>
        <v>0.58799999999999997</v>
      </c>
      <c r="T28" s="934">
        <f t="shared" si="21"/>
        <v>0.58799999999999997</v>
      </c>
      <c r="U28" s="934">
        <f t="shared" si="21"/>
        <v>0.58799999999999997</v>
      </c>
      <c r="V28" s="934">
        <f t="shared" si="21"/>
        <v>0.58799999999999997</v>
      </c>
      <c r="W28" s="934">
        <f t="shared" si="21"/>
        <v>0.58799999999999997</v>
      </c>
      <c r="X28" s="934">
        <f t="shared" si="21"/>
        <v>0.58799999999999997</v>
      </c>
      <c r="Y28" s="934">
        <f t="shared" si="21"/>
        <v>0.58799999999999997</v>
      </c>
      <c r="Z28" s="934">
        <f t="shared" si="21"/>
        <v>0.58799999999999997</v>
      </c>
      <c r="AA28" s="934">
        <f t="shared" si="21"/>
        <v>0.58799999999999997</v>
      </c>
      <c r="AB28" s="934">
        <f t="shared" si="21"/>
        <v>0.58799999999999997</v>
      </c>
      <c r="AC28" s="934">
        <f t="shared" si="21"/>
        <v>0.58799999999999997</v>
      </c>
      <c r="AD28" s="934">
        <f t="shared" si="21"/>
        <v>0.58799999999999997</v>
      </c>
      <c r="AE28" s="934">
        <f t="shared" si="21"/>
        <v>0.58799999999999997</v>
      </c>
      <c r="AF28" s="934">
        <f t="shared" si="21"/>
        <v>0.58799999999999997</v>
      </c>
      <c r="AG28" s="934">
        <f t="shared" si="21"/>
        <v>0.58799999999999997</v>
      </c>
      <c r="AH28" s="934">
        <f t="shared" si="21"/>
        <v>0.58799999999999997</v>
      </c>
      <c r="AI28" s="934">
        <f t="shared" si="21"/>
        <v>0.58799999999999997</v>
      </c>
      <c r="AJ28" s="934">
        <f t="shared" si="21"/>
        <v>0.58799999999999997</v>
      </c>
      <c r="AK28" s="934">
        <f t="shared" si="21"/>
        <v>0.58799999999999997</v>
      </c>
      <c r="AL28" s="934">
        <f t="shared" ref="AL28:AM28" si="22">$C$6*AL5*$C$10</f>
        <v>0.58799999999999997</v>
      </c>
      <c r="AM28" s="934">
        <f t="shared" si="22"/>
        <v>0.58799999999999997</v>
      </c>
    </row>
    <row r="29" spans="2:39" x14ac:dyDescent="0.25">
      <c r="B29" t="s">
        <v>891</v>
      </c>
      <c r="C29" t="s">
        <v>881</v>
      </c>
      <c r="D29" s="934">
        <f>$C$7*D5*$C$10</f>
        <v>0</v>
      </c>
      <c r="E29" s="934">
        <f t="shared" ref="E29:AK29" si="23">$C$7*E5*$C$10</f>
        <v>0</v>
      </c>
      <c r="F29" s="934">
        <f t="shared" si="23"/>
        <v>0</v>
      </c>
      <c r="G29" s="934">
        <f t="shared" si="23"/>
        <v>0</v>
      </c>
      <c r="H29" s="934">
        <f t="shared" si="23"/>
        <v>0</v>
      </c>
      <c r="I29" s="934">
        <f t="shared" si="23"/>
        <v>0</v>
      </c>
      <c r="J29" s="934">
        <f t="shared" si="23"/>
        <v>2.94</v>
      </c>
      <c r="K29" s="934">
        <f t="shared" si="23"/>
        <v>2.94</v>
      </c>
      <c r="L29" s="934">
        <f t="shared" si="23"/>
        <v>2.94</v>
      </c>
      <c r="M29" s="934">
        <f t="shared" si="23"/>
        <v>2.94</v>
      </c>
      <c r="N29" s="934">
        <f t="shared" si="23"/>
        <v>2.94</v>
      </c>
      <c r="O29" s="934">
        <f t="shared" si="23"/>
        <v>2.94</v>
      </c>
      <c r="P29" s="934">
        <f t="shared" si="23"/>
        <v>2.94</v>
      </c>
      <c r="Q29" s="934">
        <f t="shared" si="23"/>
        <v>2.94</v>
      </c>
      <c r="R29" s="934">
        <f t="shared" si="23"/>
        <v>2.94</v>
      </c>
      <c r="S29" s="934">
        <f t="shared" si="23"/>
        <v>2.94</v>
      </c>
      <c r="T29" s="934">
        <f t="shared" si="23"/>
        <v>2.94</v>
      </c>
      <c r="U29" s="934">
        <f t="shared" si="23"/>
        <v>2.94</v>
      </c>
      <c r="V29" s="934">
        <f t="shared" si="23"/>
        <v>2.94</v>
      </c>
      <c r="W29" s="934">
        <f t="shared" si="23"/>
        <v>2.94</v>
      </c>
      <c r="X29" s="934">
        <f t="shared" si="23"/>
        <v>2.94</v>
      </c>
      <c r="Y29" s="934">
        <f t="shared" si="23"/>
        <v>2.94</v>
      </c>
      <c r="Z29" s="934">
        <f t="shared" si="23"/>
        <v>2.94</v>
      </c>
      <c r="AA29" s="934">
        <f t="shared" si="23"/>
        <v>2.94</v>
      </c>
      <c r="AB29" s="934">
        <f t="shared" si="23"/>
        <v>2.94</v>
      </c>
      <c r="AC29" s="934">
        <f t="shared" si="23"/>
        <v>2.94</v>
      </c>
      <c r="AD29" s="934">
        <f t="shared" si="23"/>
        <v>2.94</v>
      </c>
      <c r="AE29" s="934">
        <f t="shared" si="23"/>
        <v>2.94</v>
      </c>
      <c r="AF29" s="934">
        <f t="shared" si="23"/>
        <v>2.94</v>
      </c>
      <c r="AG29" s="934">
        <f t="shared" si="23"/>
        <v>2.94</v>
      </c>
      <c r="AH29" s="934">
        <f t="shared" si="23"/>
        <v>2.94</v>
      </c>
      <c r="AI29" s="934">
        <f t="shared" si="23"/>
        <v>2.94</v>
      </c>
      <c r="AJ29" s="934">
        <f t="shared" si="23"/>
        <v>2.94</v>
      </c>
      <c r="AK29" s="934">
        <f t="shared" si="23"/>
        <v>2.94</v>
      </c>
      <c r="AL29" s="934">
        <f t="shared" ref="AL29:AM29" si="24">$C$7*AL5*$C$10</f>
        <v>2.94</v>
      </c>
      <c r="AM29" s="934">
        <f t="shared" si="24"/>
        <v>2.94</v>
      </c>
    </row>
    <row r="31" spans="2:39" x14ac:dyDescent="0.25">
      <c r="B31" t="s">
        <v>892</v>
      </c>
      <c r="C31" t="s">
        <v>894</v>
      </c>
      <c r="D31" s="934">
        <f>D28*$C$8</f>
        <v>0</v>
      </c>
      <c r="E31" s="934">
        <f t="shared" ref="E31:AK31" si="25">E28*$C$8</f>
        <v>0</v>
      </c>
      <c r="F31" s="934">
        <f t="shared" si="25"/>
        <v>0</v>
      </c>
      <c r="G31" s="934">
        <f t="shared" si="25"/>
        <v>0</v>
      </c>
      <c r="H31" s="934">
        <f t="shared" si="25"/>
        <v>0</v>
      </c>
      <c r="I31" s="934">
        <f t="shared" si="25"/>
        <v>0</v>
      </c>
      <c r="J31" s="934">
        <f t="shared" si="25"/>
        <v>0.8819999999999999</v>
      </c>
      <c r="K31" s="934">
        <f t="shared" si="25"/>
        <v>0.8819999999999999</v>
      </c>
      <c r="L31" s="934">
        <f t="shared" si="25"/>
        <v>0.8819999999999999</v>
      </c>
      <c r="M31" s="934">
        <f t="shared" si="25"/>
        <v>0.8819999999999999</v>
      </c>
      <c r="N31" s="934">
        <f t="shared" si="25"/>
        <v>0.8819999999999999</v>
      </c>
      <c r="O31" s="934">
        <f t="shared" si="25"/>
        <v>0.8819999999999999</v>
      </c>
      <c r="P31" s="934">
        <f t="shared" si="25"/>
        <v>0.8819999999999999</v>
      </c>
      <c r="Q31" s="934">
        <f t="shared" si="25"/>
        <v>0.8819999999999999</v>
      </c>
      <c r="R31" s="934">
        <f t="shared" si="25"/>
        <v>0.8819999999999999</v>
      </c>
      <c r="S31" s="934">
        <f t="shared" si="25"/>
        <v>0.8819999999999999</v>
      </c>
      <c r="T31" s="934">
        <f t="shared" si="25"/>
        <v>0.8819999999999999</v>
      </c>
      <c r="U31" s="934">
        <f t="shared" si="25"/>
        <v>0.8819999999999999</v>
      </c>
      <c r="V31" s="934">
        <f t="shared" si="25"/>
        <v>0.8819999999999999</v>
      </c>
      <c r="W31" s="934">
        <f t="shared" si="25"/>
        <v>0.8819999999999999</v>
      </c>
      <c r="X31" s="934">
        <f t="shared" si="25"/>
        <v>0.8819999999999999</v>
      </c>
      <c r="Y31" s="934">
        <f t="shared" si="25"/>
        <v>0.8819999999999999</v>
      </c>
      <c r="Z31" s="934">
        <f t="shared" si="25"/>
        <v>0.8819999999999999</v>
      </c>
      <c r="AA31" s="934">
        <f t="shared" si="25"/>
        <v>0.8819999999999999</v>
      </c>
      <c r="AB31" s="934">
        <f t="shared" si="25"/>
        <v>0.8819999999999999</v>
      </c>
      <c r="AC31" s="934">
        <f t="shared" si="25"/>
        <v>0.8819999999999999</v>
      </c>
      <c r="AD31" s="934">
        <f t="shared" si="25"/>
        <v>0.8819999999999999</v>
      </c>
      <c r="AE31" s="934">
        <f t="shared" si="25"/>
        <v>0.8819999999999999</v>
      </c>
      <c r="AF31" s="934">
        <f t="shared" si="25"/>
        <v>0.8819999999999999</v>
      </c>
      <c r="AG31" s="934">
        <f t="shared" si="25"/>
        <v>0.8819999999999999</v>
      </c>
      <c r="AH31" s="934">
        <f t="shared" si="25"/>
        <v>0.8819999999999999</v>
      </c>
      <c r="AI31" s="934">
        <f t="shared" si="25"/>
        <v>0.8819999999999999</v>
      </c>
      <c r="AJ31" s="934">
        <f t="shared" si="25"/>
        <v>0.8819999999999999</v>
      </c>
      <c r="AK31" s="934">
        <f t="shared" si="25"/>
        <v>0.8819999999999999</v>
      </c>
      <c r="AL31" s="934">
        <f t="shared" ref="AL31:AM31" si="26">AL28*$C$8</f>
        <v>0.8819999999999999</v>
      </c>
      <c r="AM31" s="934">
        <f t="shared" si="26"/>
        <v>0.8819999999999999</v>
      </c>
    </row>
    <row r="32" spans="2:39" x14ac:dyDescent="0.25">
      <c r="B32" t="s">
        <v>893</v>
      </c>
      <c r="C32" t="s">
        <v>895</v>
      </c>
      <c r="D32" s="934">
        <f>D29*$C$9</f>
        <v>0</v>
      </c>
      <c r="E32" s="934">
        <f t="shared" ref="E32:AK32" si="27">E29*$C$9</f>
        <v>0</v>
      </c>
      <c r="F32" s="934">
        <f t="shared" si="27"/>
        <v>0</v>
      </c>
      <c r="G32" s="934">
        <f t="shared" si="27"/>
        <v>0</v>
      </c>
      <c r="H32" s="934">
        <f t="shared" si="27"/>
        <v>0</v>
      </c>
      <c r="I32" s="934">
        <f t="shared" si="27"/>
        <v>0</v>
      </c>
      <c r="J32" s="934">
        <f t="shared" si="27"/>
        <v>4.7039999999999997</v>
      </c>
      <c r="K32" s="934">
        <f t="shared" si="27"/>
        <v>4.7039999999999997</v>
      </c>
      <c r="L32" s="934">
        <f t="shared" si="27"/>
        <v>4.7039999999999997</v>
      </c>
      <c r="M32" s="934">
        <f t="shared" si="27"/>
        <v>4.7039999999999997</v>
      </c>
      <c r="N32" s="934">
        <f t="shared" si="27"/>
        <v>4.7039999999999997</v>
      </c>
      <c r="O32" s="934">
        <f t="shared" si="27"/>
        <v>4.7039999999999997</v>
      </c>
      <c r="P32" s="934">
        <f t="shared" si="27"/>
        <v>4.7039999999999997</v>
      </c>
      <c r="Q32" s="934">
        <f t="shared" si="27"/>
        <v>4.7039999999999997</v>
      </c>
      <c r="R32" s="934">
        <f t="shared" si="27"/>
        <v>4.7039999999999997</v>
      </c>
      <c r="S32" s="934">
        <f t="shared" si="27"/>
        <v>4.7039999999999997</v>
      </c>
      <c r="T32" s="934">
        <f t="shared" si="27"/>
        <v>4.7039999999999997</v>
      </c>
      <c r="U32" s="934">
        <f t="shared" si="27"/>
        <v>4.7039999999999997</v>
      </c>
      <c r="V32" s="934">
        <f t="shared" si="27"/>
        <v>4.7039999999999997</v>
      </c>
      <c r="W32" s="934">
        <f t="shared" si="27"/>
        <v>4.7039999999999997</v>
      </c>
      <c r="X32" s="934">
        <f t="shared" si="27"/>
        <v>4.7039999999999997</v>
      </c>
      <c r="Y32" s="934">
        <f t="shared" si="27"/>
        <v>4.7039999999999997</v>
      </c>
      <c r="Z32" s="934">
        <f t="shared" si="27"/>
        <v>4.7039999999999997</v>
      </c>
      <c r="AA32" s="934">
        <f t="shared" si="27"/>
        <v>4.7039999999999997</v>
      </c>
      <c r="AB32" s="934">
        <f t="shared" si="27"/>
        <v>4.7039999999999997</v>
      </c>
      <c r="AC32" s="934">
        <f t="shared" si="27"/>
        <v>4.7039999999999997</v>
      </c>
      <c r="AD32" s="934">
        <f t="shared" si="27"/>
        <v>4.7039999999999997</v>
      </c>
      <c r="AE32" s="934">
        <f t="shared" si="27"/>
        <v>4.7039999999999997</v>
      </c>
      <c r="AF32" s="934">
        <f t="shared" si="27"/>
        <v>4.7039999999999997</v>
      </c>
      <c r="AG32" s="934">
        <f t="shared" si="27"/>
        <v>4.7039999999999997</v>
      </c>
      <c r="AH32" s="934">
        <f t="shared" si="27"/>
        <v>4.7039999999999997</v>
      </c>
      <c r="AI32" s="934">
        <f t="shared" si="27"/>
        <v>4.7039999999999997</v>
      </c>
      <c r="AJ32" s="934">
        <f t="shared" si="27"/>
        <v>4.7039999999999997</v>
      </c>
      <c r="AK32" s="934">
        <f t="shared" si="27"/>
        <v>4.7039999999999997</v>
      </c>
      <c r="AL32" s="934">
        <f t="shared" ref="AL32:AM32" si="28">AL29*$C$9</f>
        <v>4.7039999999999997</v>
      </c>
      <c r="AM32" s="934">
        <f t="shared" si="28"/>
        <v>4.7039999999999997</v>
      </c>
    </row>
    <row r="34" spans="2:39" x14ac:dyDescent="0.25">
      <c r="B34" t="s">
        <v>896</v>
      </c>
      <c r="C34" s="2" t="s">
        <v>12</v>
      </c>
      <c r="D34" s="788">
        <f>D31*$C$12</f>
        <v>0</v>
      </c>
      <c r="E34" s="788">
        <f t="shared" ref="E34:AK34" si="29">E31*$C$12</f>
        <v>0</v>
      </c>
      <c r="F34" s="788">
        <f t="shared" si="29"/>
        <v>0</v>
      </c>
      <c r="G34" s="788">
        <f t="shared" si="29"/>
        <v>0</v>
      </c>
      <c r="H34" s="788">
        <f t="shared" si="29"/>
        <v>0</v>
      </c>
      <c r="I34" s="788">
        <f t="shared" si="29"/>
        <v>0</v>
      </c>
      <c r="J34" s="788">
        <f t="shared" si="29"/>
        <v>153467.99999999997</v>
      </c>
      <c r="K34" s="788">
        <f t="shared" si="29"/>
        <v>153467.99999999997</v>
      </c>
      <c r="L34" s="788">
        <f t="shared" si="29"/>
        <v>153467.99999999997</v>
      </c>
      <c r="M34" s="788">
        <f t="shared" si="29"/>
        <v>153467.99999999997</v>
      </c>
      <c r="N34" s="788">
        <f t="shared" si="29"/>
        <v>153467.99999999997</v>
      </c>
      <c r="O34" s="788">
        <f t="shared" si="29"/>
        <v>153467.99999999997</v>
      </c>
      <c r="P34" s="788">
        <f t="shared" si="29"/>
        <v>153467.99999999997</v>
      </c>
      <c r="Q34" s="788">
        <f t="shared" si="29"/>
        <v>153467.99999999997</v>
      </c>
      <c r="R34" s="788">
        <f t="shared" si="29"/>
        <v>153467.99999999997</v>
      </c>
      <c r="S34" s="788">
        <f t="shared" si="29"/>
        <v>153467.99999999997</v>
      </c>
      <c r="T34" s="788">
        <f t="shared" si="29"/>
        <v>153467.99999999997</v>
      </c>
      <c r="U34" s="788">
        <f t="shared" si="29"/>
        <v>153467.99999999997</v>
      </c>
      <c r="V34" s="788">
        <f t="shared" si="29"/>
        <v>153467.99999999997</v>
      </c>
      <c r="W34" s="788">
        <f t="shared" si="29"/>
        <v>153467.99999999997</v>
      </c>
      <c r="X34" s="788">
        <f t="shared" si="29"/>
        <v>153467.99999999997</v>
      </c>
      <c r="Y34" s="788">
        <f t="shared" si="29"/>
        <v>153467.99999999997</v>
      </c>
      <c r="Z34" s="788">
        <f t="shared" si="29"/>
        <v>153467.99999999997</v>
      </c>
      <c r="AA34" s="788">
        <f t="shared" si="29"/>
        <v>153467.99999999997</v>
      </c>
      <c r="AB34" s="788">
        <f t="shared" si="29"/>
        <v>153467.99999999997</v>
      </c>
      <c r="AC34" s="788">
        <f t="shared" si="29"/>
        <v>153467.99999999997</v>
      </c>
      <c r="AD34" s="788">
        <f t="shared" si="29"/>
        <v>153467.99999999997</v>
      </c>
      <c r="AE34" s="788">
        <f t="shared" si="29"/>
        <v>153467.99999999997</v>
      </c>
      <c r="AF34" s="788">
        <f t="shared" si="29"/>
        <v>153467.99999999997</v>
      </c>
      <c r="AG34" s="788">
        <f t="shared" si="29"/>
        <v>153467.99999999997</v>
      </c>
      <c r="AH34" s="788">
        <f t="shared" si="29"/>
        <v>153467.99999999997</v>
      </c>
      <c r="AI34" s="788">
        <f t="shared" si="29"/>
        <v>153467.99999999997</v>
      </c>
      <c r="AJ34" s="788">
        <f t="shared" si="29"/>
        <v>153467.99999999997</v>
      </c>
      <c r="AK34" s="788">
        <f t="shared" si="29"/>
        <v>153467.99999999997</v>
      </c>
      <c r="AL34" s="788">
        <f t="shared" ref="AL34:AM34" si="30">AL31*$C$12</f>
        <v>153467.99999999997</v>
      </c>
      <c r="AM34" s="788">
        <f t="shared" si="30"/>
        <v>153467.99999999997</v>
      </c>
    </row>
    <row r="35" spans="2:39" x14ac:dyDescent="0.25">
      <c r="B35" t="s">
        <v>897</v>
      </c>
      <c r="C35" s="2" t="s">
        <v>12</v>
      </c>
      <c r="D35" s="788">
        <f>D32*$C$13</f>
        <v>0</v>
      </c>
      <c r="E35" s="788">
        <f t="shared" ref="E35:AK35" si="31">E32*$C$13</f>
        <v>0</v>
      </c>
      <c r="F35" s="788">
        <f t="shared" si="31"/>
        <v>0</v>
      </c>
      <c r="G35" s="788">
        <f t="shared" si="31"/>
        <v>0</v>
      </c>
      <c r="H35" s="788">
        <f t="shared" si="31"/>
        <v>0</v>
      </c>
      <c r="I35" s="788">
        <f t="shared" si="31"/>
        <v>0</v>
      </c>
      <c r="J35" s="788">
        <f t="shared" si="31"/>
        <v>20227.199999999997</v>
      </c>
      <c r="K35" s="788">
        <f t="shared" si="31"/>
        <v>20227.199999999997</v>
      </c>
      <c r="L35" s="788">
        <f t="shared" si="31"/>
        <v>20227.199999999997</v>
      </c>
      <c r="M35" s="788">
        <f t="shared" si="31"/>
        <v>20227.199999999997</v>
      </c>
      <c r="N35" s="788">
        <f t="shared" si="31"/>
        <v>20227.199999999997</v>
      </c>
      <c r="O35" s="788">
        <f t="shared" si="31"/>
        <v>20227.199999999997</v>
      </c>
      <c r="P35" s="788">
        <f t="shared" si="31"/>
        <v>20227.199999999997</v>
      </c>
      <c r="Q35" s="788">
        <f t="shared" si="31"/>
        <v>20227.199999999997</v>
      </c>
      <c r="R35" s="788">
        <f t="shared" si="31"/>
        <v>20227.199999999997</v>
      </c>
      <c r="S35" s="788">
        <f t="shared" si="31"/>
        <v>20227.199999999997</v>
      </c>
      <c r="T35" s="788">
        <f t="shared" si="31"/>
        <v>20227.199999999997</v>
      </c>
      <c r="U35" s="788">
        <f t="shared" si="31"/>
        <v>20227.199999999997</v>
      </c>
      <c r="V35" s="788">
        <f t="shared" si="31"/>
        <v>20227.199999999997</v>
      </c>
      <c r="W35" s="788">
        <f t="shared" si="31"/>
        <v>20227.199999999997</v>
      </c>
      <c r="X35" s="788">
        <f t="shared" si="31"/>
        <v>20227.199999999997</v>
      </c>
      <c r="Y35" s="788">
        <f t="shared" si="31"/>
        <v>20227.199999999997</v>
      </c>
      <c r="Z35" s="788">
        <f t="shared" si="31"/>
        <v>20227.199999999997</v>
      </c>
      <c r="AA35" s="788">
        <f t="shared" si="31"/>
        <v>20227.199999999997</v>
      </c>
      <c r="AB35" s="788">
        <f t="shared" si="31"/>
        <v>20227.199999999997</v>
      </c>
      <c r="AC35" s="788">
        <f t="shared" si="31"/>
        <v>20227.199999999997</v>
      </c>
      <c r="AD35" s="788">
        <f t="shared" si="31"/>
        <v>20227.199999999997</v>
      </c>
      <c r="AE35" s="788">
        <f t="shared" si="31"/>
        <v>20227.199999999997</v>
      </c>
      <c r="AF35" s="788">
        <f t="shared" si="31"/>
        <v>20227.199999999997</v>
      </c>
      <c r="AG35" s="788">
        <f t="shared" si="31"/>
        <v>20227.199999999997</v>
      </c>
      <c r="AH35" s="788">
        <f t="shared" si="31"/>
        <v>20227.199999999997</v>
      </c>
      <c r="AI35" s="788">
        <f t="shared" si="31"/>
        <v>20227.199999999997</v>
      </c>
      <c r="AJ35" s="788">
        <f t="shared" si="31"/>
        <v>20227.199999999997</v>
      </c>
      <c r="AK35" s="788">
        <f t="shared" si="31"/>
        <v>20227.199999999997</v>
      </c>
      <c r="AL35" s="788">
        <f t="shared" ref="AL35:AM35" si="32">AL32*$C$13</f>
        <v>20227.199999999997</v>
      </c>
      <c r="AM35" s="788">
        <f t="shared" si="32"/>
        <v>20227.199999999997</v>
      </c>
    </row>
    <row r="37" spans="2:39" x14ac:dyDescent="0.25">
      <c r="B37" s="642" t="s">
        <v>898</v>
      </c>
      <c r="C37" s="3" t="s">
        <v>0</v>
      </c>
      <c r="D37" s="672">
        <v>2019</v>
      </c>
      <c r="E37" s="672">
        <f>D37+1</f>
        <v>2020</v>
      </c>
      <c r="F37" s="672">
        <f t="shared" ref="F37:AK37" si="33">E37+1</f>
        <v>2021</v>
      </c>
      <c r="G37" s="672">
        <f t="shared" si="33"/>
        <v>2022</v>
      </c>
      <c r="H37" s="672">
        <f t="shared" si="33"/>
        <v>2023</v>
      </c>
      <c r="I37" s="672">
        <f t="shared" si="33"/>
        <v>2024</v>
      </c>
      <c r="J37" s="672">
        <f t="shared" si="33"/>
        <v>2025</v>
      </c>
      <c r="K37" s="672">
        <f t="shared" si="33"/>
        <v>2026</v>
      </c>
      <c r="L37" s="672">
        <f t="shared" si="33"/>
        <v>2027</v>
      </c>
      <c r="M37" s="672">
        <f t="shared" si="33"/>
        <v>2028</v>
      </c>
      <c r="N37" s="672">
        <f t="shared" si="33"/>
        <v>2029</v>
      </c>
      <c r="O37" s="672">
        <f t="shared" si="33"/>
        <v>2030</v>
      </c>
      <c r="P37" s="672">
        <f t="shared" si="33"/>
        <v>2031</v>
      </c>
      <c r="Q37" s="672">
        <f t="shared" si="33"/>
        <v>2032</v>
      </c>
      <c r="R37" s="672">
        <f t="shared" si="33"/>
        <v>2033</v>
      </c>
      <c r="S37" s="672">
        <f t="shared" si="33"/>
        <v>2034</v>
      </c>
      <c r="T37" s="672">
        <f t="shared" si="33"/>
        <v>2035</v>
      </c>
      <c r="U37" s="672">
        <f t="shared" si="33"/>
        <v>2036</v>
      </c>
      <c r="V37" s="672">
        <f t="shared" si="33"/>
        <v>2037</v>
      </c>
      <c r="W37" s="672">
        <f t="shared" si="33"/>
        <v>2038</v>
      </c>
      <c r="X37" s="672">
        <f t="shared" si="33"/>
        <v>2039</v>
      </c>
      <c r="Y37" s="672">
        <f t="shared" si="33"/>
        <v>2040</v>
      </c>
      <c r="Z37" s="672">
        <f t="shared" si="33"/>
        <v>2041</v>
      </c>
      <c r="AA37" s="672">
        <f t="shared" si="33"/>
        <v>2042</v>
      </c>
      <c r="AB37" s="672">
        <f t="shared" si="33"/>
        <v>2043</v>
      </c>
      <c r="AC37" s="672">
        <f t="shared" si="33"/>
        <v>2044</v>
      </c>
      <c r="AD37" s="672">
        <f t="shared" si="33"/>
        <v>2045</v>
      </c>
      <c r="AE37" s="672">
        <f t="shared" si="33"/>
        <v>2046</v>
      </c>
      <c r="AF37" s="672">
        <f t="shared" si="33"/>
        <v>2047</v>
      </c>
      <c r="AG37" s="672">
        <f t="shared" si="33"/>
        <v>2048</v>
      </c>
      <c r="AH37" s="672">
        <f t="shared" si="33"/>
        <v>2049</v>
      </c>
      <c r="AI37" s="672">
        <f t="shared" si="33"/>
        <v>2050</v>
      </c>
      <c r="AJ37" s="672">
        <f t="shared" si="33"/>
        <v>2051</v>
      </c>
      <c r="AK37" s="672">
        <f t="shared" si="33"/>
        <v>2052</v>
      </c>
      <c r="AL37" s="672">
        <f t="shared" ref="AL37" si="34">AK37+1</f>
        <v>2053</v>
      </c>
      <c r="AM37" s="672">
        <f t="shared" ref="AM37" si="35">AL37+1</f>
        <v>2054</v>
      </c>
    </row>
    <row r="39" spans="2:39" x14ac:dyDescent="0.25">
      <c r="B39" t="s">
        <v>899</v>
      </c>
      <c r="C39" s="2" t="s">
        <v>12</v>
      </c>
      <c r="D39" s="788">
        <f>D23-D34</f>
        <v>0</v>
      </c>
      <c r="E39" s="788">
        <f t="shared" ref="E39:AK39" si="36">E23-E34</f>
        <v>0</v>
      </c>
      <c r="F39" s="788">
        <f t="shared" si="36"/>
        <v>0</v>
      </c>
      <c r="G39" s="788">
        <f t="shared" si="36"/>
        <v>0</v>
      </c>
      <c r="H39" s="788">
        <f t="shared" si="36"/>
        <v>0</v>
      </c>
      <c r="I39" s="788">
        <f t="shared" si="36"/>
        <v>0</v>
      </c>
      <c r="J39" s="788">
        <f t="shared" si="36"/>
        <v>3132</v>
      </c>
      <c r="K39" s="788">
        <f t="shared" si="36"/>
        <v>3132</v>
      </c>
      <c r="L39" s="788">
        <f t="shared" si="36"/>
        <v>3132</v>
      </c>
      <c r="M39" s="788">
        <f t="shared" si="36"/>
        <v>3132</v>
      </c>
      <c r="N39" s="788">
        <f t="shared" si="36"/>
        <v>3132</v>
      </c>
      <c r="O39" s="788">
        <f t="shared" si="36"/>
        <v>3132</v>
      </c>
      <c r="P39" s="788">
        <f t="shared" si="36"/>
        <v>3132</v>
      </c>
      <c r="Q39" s="788">
        <f t="shared" si="36"/>
        <v>3132</v>
      </c>
      <c r="R39" s="788">
        <f t="shared" si="36"/>
        <v>3132</v>
      </c>
      <c r="S39" s="788">
        <f t="shared" si="36"/>
        <v>3132</v>
      </c>
      <c r="T39" s="788">
        <f t="shared" si="36"/>
        <v>3132</v>
      </c>
      <c r="U39" s="788">
        <f t="shared" si="36"/>
        <v>3132</v>
      </c>
      <c r="V39" s="788">
        <f t="shared" si="36"/>
        <v>3132</v>
      </c>
      <c r="W39" s="788">
        <f t="shared" si="36"/>
        <v>3132</v>
      </c>
      <c r="X39" s="788">
        <f t="shared" si="36"/>
        <v>3132</v>
      </c>
      <c r="Y39" s="788">
        <f t="shared" si="36"/>
        <v>3132</v>
      </c>
      <c r="Z39" s="788">
        <f t="shared" si="36"/>
        <v>3132</v>
      </c>
      <c r="AA39" s="788">
        <f t="shared" si="36"/>
        <v>3132</v>
      </c>
      <c r="AB39" s="788">
        <f t="shared" si="36"/>
        <v>3132</v>
      </c>
      <c r="AC39" s="788">
        <f t="shared" si="36"/>
        <v>3132</v>
      </c>
      <c r="AD39" s="788">
        <f t="shared" si="36"/>
        <v>3132</v>
      </c>
      <c r="AE39" s="788">
        <f t="shared" si="36"/>
        <v>3132</v>
      </c>
      <c r="AF39" s="788">
        <f t="shared" si="36"/>
        <v>3132</v>
      </c>
      <c r="AG39" s="788">
        <f t="shared" si="36"/>
        <v>3132</v>
      </c>
      <c r="AH39" s="788">
        <f t="shared" si="36"/>
        <v>3132</v>
      </c>
      <c r="AI39" s="788">
        <f t="shared" si="36"/>
        <v>3132</v>
      </c>
      <c r="AJ39" s="788">
        <f t="shared" si="36"/>
        <v>3132</v>
      </c>
      <c r="AK39" s="788">
        <f t="shared" si="36"/>
        <v>3132</v>
      </c>
      <c r="AL39" s="788">
        <f t="shared" ref="AL39:AM39" si="37">AL23-AL34</f>
        <v>3132</v>
      </c>
      <c r="AM39" s="788">
        <f t="shared" si="37"/>
        <v>3132</v>
      </c>
    </row>
    <row r="40" spans="2:39" x14ac:dyDescent="0.25">
      <c r="B40" s="833" t="s">
        <v>900</v>
      </c>
      <c r="C40" s="749" t="s">
        <v>12</v>
      </c>
      <c r="D40" s="796">
        <f>D24-D35</f>
        <v>0</v>
      </c>
      <c r="E40" s="796">
        <f t="shared" ref="E40:AK40" si="38">E24-E35</f>
        <v>0</v>
      </c>
      <c r="F40" s="796">
        <f t="shared" si="38"/>
        <v>0</v>
      </c>
      <c r="G40" s="796">
        <f t="shared" si="38"/>
        <v>0</v>
      </c>
      <c r="H40" s="796">
        <f t="shared" si="38"/>
        <v>0</v>
      </c>
      <c r="I40" s="796">
        <f t="shared" si="38"/>
        <v>0</v>
      </c>
      <c r="J40" s="796">
        <f t="shared" si="38"/>
        <v>412.80000000000655</v>
      </c>
      <c r="K40" s="796">
        <f t="shared" si="38"/>
        <v>412.80000000000655</v>
      </c>
      <c r="L40" s="796">
        <f t="shared" si="38"/>
        <v>412.80000000000655</v>
      </c>
      <c r="M40" s="796">
        <f t="shared" si="38"/>
        <v>412.80000000000655</v>
      </c>
      <c r="N40" s="796">
        <f t="shared" si="38"/>
        <v>412.80000000000655</v>
      </c>
      <c r="O40" s="796">
        <f t="shared" si="38"/>
        <v>412.80000000000655</v>
      </c>
      <c r="P40" s="796">
        <f t="shared" si="38"/>
        <v>412.80000000000655</v>
      </c>
      <c r="Q40" s="796">
        <f t="shared" si="38"/>
        <v>412.80000000000655</v>
      </c>
      <c r="R40" s="796">
        <f t="shared" si="38"/>
        <v>412.80000000000655</v>
      </c>
      <c r="S40" s="796">
        <f t="shared" si="38"/>
        <v>412.80000000000655</v>
      </c>
      <c r="T40" s="796">
        <f t="shared" si="38"/>
        <v>412.80000000000655</v>
      </c>
      <c r="U40" s="796">
        <f t="shared" si="38"/>
        <v>412.80000000000655</v>
      </c>
      <c r="V40" s="796">
        <f t="shared" si="38"/>
        <v>412.80000000000655</v>
      </c>
      <c r="W40" s="796">
        <f t="shared" si="38"/>
        <v>412.80000000000655</v>
      </c>
      <c r="X40" s="796">
        <f t="shared" si="38"/>
        <v>412.80000000000655</v>
      </c>
      <c r="Y40" s="796">
        <f t="shared" si="38"/>
        <v>412.80000000000655</v>
      </c>
      <c r="Z40" s="796">
        <f t="shared" si="38"/>
        <v>412.80000000000655</v>
      </c>
      <c r="AA40" s="796">
        <f t="shared" si="38"/>
        <v>412.80000000000655</v>
      </c>
      <c r="AB40" s="796">
        <f t="shared" si="38"/>
        <v>412.80000000000655</v>
      </c>
      <c r="AC40" s="796">
        <f t="shared" si="38"/>
        <v>412.80000000000655</v>
      </c>
      <c r="AD40" s="796">
        <f t="shared" si="38"/>
        <v>412.80000000000655</v>
      </c>
      <c r="AE40" s="796">
        <f t="shared" si="38"/>
        <v>412.80000000000655</v>
      </c>
      <c r="AF40" s="796">
        <f t="shared" si="38"/>
        <v>412.80000000000655</v>
      </c>
      <c r="AG40" s="796">
        <f t="shared" si="38"/>
        <v>412.80000000000655</v>
      </c>
      <c r="AH40" s="796">
        <f t="shared" si="38"/>
        <v>412.80000000000655</v>
      </c>
      <c r="AI40" s="796">
        <f t="shared" si="38"/>
        <v>412.80000000000655</v>
      </c>
      <c r="AJ40" s="796">
        <f t="shared" si="38"/>
        <v>412.80000000000655</v>
      </c>
      <c r="AK40" s="796">
        <f t="shared" si="38"/>
        <v>412.80000000000655</v>
      </c>
      <c r="AL40" s="796">
        <f t="shared" ref="AL40:AM40" si="39">AL24-AL35</f>
        <v>412.80000000000655</v>
      </c>
      <c r="AM40" s="796">
        <f t="shared" si="39"/>
        <v>412.80000000000655</v>
      </c>
    </row>
    <row r="41" spans="2:39" x14ac:dyDescent="0.25">
      <c r="B41" s="640" t="s">
        <v>393</v>
      </c>
      <c r="C41" s="653" t="s">
        <v>12</v>
      </c>
      <c r="D41" s="793">
        <f>SUM(D39:D40)</f>
        <v>0</v>
      </c>
      <c r="E41" s="793">
        <f t="shared" ref="E41:AK41" si="40">SUM(E39:E40)</f>
        <v>0</v>
      </c>
      <c r="F41" s="793">
        <f t="shared" si="40"/>
        <v>0</v>
      </c>
      <c r="G41" s="793">
        <f t="shared" si="40"/>
        <v>0</v>
      </c>
      <c r="H41" s="793">
        <f t="shared" si="40"/>
        <v>0</v>
      </c>
      <c r="I41" s="793">
        <f t="shared" si="40"/>
        <v>0</v>
      </c>
      <c r="J41" s="793">
        <f t="shared" si="40"/>
        <v>3544.8000000000065</v>
      </c>
      <c r="K41" s="793">
        <f t="shared" si="40"/>
        <v>3544.8000000000065</v>
      </c>
      <c r="L41" s="793">
        <f t="shared" si="40"/>
        <v>3544.8000000000065</v>
      </c>
      <c r="M41" s="793">
        <f t="shared" si="40"/>
        <v>3544.8000000000065</v>
      </c>
      <c r="N41" s="793">
        <f t="shared" si="40"/>
        <v>3544.8000000000065</v>
      </c>
      <c r="O41" s="793">
        <f t="shared" si="40"/>
        <v>3544.8000000000065</v>
      </c>
      <c r="P41" s="793">
        <f t="shared" si="40"/>
        <v>3544.8000000000065</v>
      </c>
      <c r="Q41" s="793">
        <f t="shared" si="40"/>
        <v>3544.8000000000065</v>
      </c>
      <c r="R41" s="793">
        <f t="shared" si="40"/>
        <v>3544.8000000000065</v>
      </c>
      <c r="S41" s="793">
        <f t="shared" si="40"/>
        <v>3544.8000000000065</v>
      </c>
      <c r="T41" s="793">
        <f t="shared" si="40"/>
        <v>3544.8000000000065</v>
      </c>
      <c r="U41" s="793">
        <f t="shared" si="40"/>
        <v>3544.8000000000065</v>
      </c>
      <c r="V41" s="793">
        <f t="shared" si="40"/>
        <v>3544.8000000000065</v>
      </c>
      <c r="W41" s="793">
        <f t="shared" si="40"/>
        <v>3544.8000000000065</v>
      </c>
      <c r="X41" s="793">
        <f t="shared" si="40"/>
        <v>3544.8000000000065</v>
      </c>
      <c r="Y41" s="793">
        <f t="shared" si="40"/>
        <v>3544.8000000000065</v>
      </c>
      <c r="Z41" s="793">
        <f t="shared" si="40"/>
        <v>3544.8000000000065</v>
      </c>
      <c r="AA41" s="793">
        <f t="shared" si="40"/>
        <v>3544.8000000000065</v>
      </c>
      <c r="AB41" s="793">
        <f t="shared" si="40"/>
        <v>3544.8000000000065</v>
      </c>
      <c r="AC41" s="793">
        <f t="shared" si="40"/>
        <v>3544.8000000000065</v>
      </c>
      <c r="AD41" s="793">
        <f t="shared" si="40"/>
        <v>3544.8000000000065</v>
      </c>
      <c r="AE41" s="793">
        <f t="shared" si="40"/>
        <v>3544.8000000000065</v>
      </c>
      <c r="AF41" s="793">
        <f t="shared" si="40"/>
        <v>3544.8000000000065</v>
      </c>
      <c r="AG41" s="793">
        <f t="shared" si="40"/>
        <v>3544.8000000000065</v>
      </c>
      <c r="AH41" s="793">
        <f t="shared" si="40"/>
        <v>3544.8000000000065</v>
      </c>
      <c r="AI41" s="793">
        <f t="shared" si="40"/>
        <v>3544.8000000000065</v>
      </c>
      <c r="AJ41" s="793">
        <f t="shared" si="40"/>
        <v>3544.8000000000065</v>
      </c>
      <c r="AK41" s="793">
        <f t="shared" si="40"/>
        <v>3544.8000000000065</v>
      </c>
      <c r="AL41" s="793">
        <f t="shared" ref="AL41:AM41" si="41">SUM(AL39:AL40)</f>
        <v>3544.8000000000065</v>
      </c>
      <c r="AM41" s="793">
        <f t="shared" si="41"/>
        <v>3544.8000000000065</v>
      </c>
    </row>
  </sheetData>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N61"/>
  <sheetViews>
    <sheetView zoomScale="90" zoomScaleNormal="90" workbookViewId="0">
      <pane xSplit="3" ySplit="4" topLeftCell="D5" activePane="bottomRight" state="frozen"/>
      <selection pane="topRight" activeCell="D1" sqref="D1"/>
      <selection pane="bottomLeft" activeCell="A5" sqref="A5"/>
      <selection pane="bottomRight"/>
    </sheetView>
  </sheetViews>
  <sheetFormatPr defaultRowHeight="14.4" x14ac:dyDescent="0.25"/>
  <cols>
    <col min="1" max="1" width="2.109375" customWidth="1"/>
    <col min="2" max="2" width="24.33203125" customWidth="1"/>
    <col min="3" max="3" width="10" bestFit="1" customWidth="1"/>
    <col min="4" max="4" width="10" customWidth="1"/>
    <col min="5" max="9" width="10.44140625" bestFit="1" customWidth="1"/>
    <col min="10" max="39" width="12.33203125" bestFit="1" customWidth="1"/>
  </cols>
  <sheetData>
    <row r="1" spans="2:40" ht="8.1999999999999993" customHeight="1" x14ac:dyDescent="0.25"/>
    <row r="2" spans="2:40" ht="17.7" x14ac:dyDescent="0.3">
      <c r="B2" s="765" t="s">
        <v>814</v>
      </c>
      <c r="C2" s="2"/>
      <c r="D2" s="2"/>
    </row>
    <row r="3" spans="2:40" x14ac:dyDescent="0.25">
      <c r="C3" s="645" t="s">
        <v>544</v>
      </c>
      <c r="D3" s="645"/>
    </row>
    <row r="4" spans="2:40" x14ac:dyDescent="0.25">
      <c r="C4" s="648">
        <f>Assumptions!$D$10</f>
        <v>2018</v>
      </c>
      <c r="D4" s="672" t="s">
        <v>148</v>
      </c>
      <c r="E4" s="672">
        <v>2019</v>
      </c>
      <c r="F4" s="672">
        <f>E4+1</f>
        <v>2020</v>
      </c>
      <c r="G4" s="672">
        <f t="shared" ref="G4:AN4" si="0">F4+1</f>
        <v>2021</v>
      </c>
      <c r="H4" s="672">
        <f t="shared" si="0"/>
        <v>2022</v>
      </c>
      <c r="I4" s="672">
        <f t="shared" si="0"/>
        <v>2023</v>
      </c>
      <c r="J4" s="672">
        <f t="shared" si="0"/>
        <v>2024</v>
      </c>
      <c r="K4" s="672">
        <f t="shared" si="0"/>
        <v>2025</v>
      </c>
      <c r="L4" s="672">
        <f t="shared" si="0"/>
        <v>2026</v>
      </c>
      <c r="M4" s="672">
        <f t="shared" si="0"/>
        <v>2027</v>
      </c>
      <c r="N4" s="672">
        <f t="shared" si="0"/>
        <v>2028</v>
      </c>
      <c r="O4" s="672">
        <f t="shared" si="0"/>
        <v>2029</v>
      </c>
      <c r="P4" s="672">
        <f t="shared" si="0"/>
        <v>2030</v>
      </c>
      <c r="Q4" s="672">
        <f t="shared" si="0"/>
        <v>2031</v>
      </c>
      <c r="R4" s="672">
        <f t="shared" si="0"/>
        <v>2032</v>
      </c>
      <c r="S4" s="672">
        <f t="shared" si="0"/>
        <v>2033</v>
      </c>
      <c r="T4" s="672">
        <f t="shared" si="0"/>
        <v>2034</v>
      </c>
      <c r="U4" s="672">
        <f t="shared" si="0"/>
        <v>2035</v>
      </c>
      <c r="V4" s="672">
        <f t="shared" si="0"/>
        <v>2036</v>
      </c>
      <c r="W4" s="672">
        <f t="shared" si="0"/>
        <v>2037</v>
      </c>
      <c r="X4" s="672">
        <f t="shared" si="0"/>
        <v>2038</v>
      </c>
      <c r="Y4" s="672">
        <f t="shared" si="0"/>
        <v>2039</v>
      </c>
      <c r="Z4" s="672">
        <f t="shared" si="0"/>
        <v>2040</v>
      </c>
      <c r="AA4" s="672">
        <f t="shared" si="0"/>
        <v>2041</v>
      </c>
      <c r="AB4" s="672">
        <f t="shared" si="0"/>
        <v>2042</v>
      </c>
      <c r="AC4" s="672">
        <f t="shared" si="0"/>
        <v>2043</v>
      </c>
      <c r="AD4" s="672">
        <f t="shared" si="0"/>
        <v>2044</v>
      </c>
      <c r="AE4" s="672">
        <f t="shared" si="0"/>
        <v>2045</v>
      </c>
      <c r="AF4" s="672">
        <f t="shared" si="0"/>
        <v>2046</v>
      </c>
      <c r="AG4" s="672">
        <f t="shared" si="0"/>
        <v>2047</v>
      </c>
      <c r="AH4" s="672">
        <f t="shared" si="0"/>
        <v>2048</v>
      </c>
      <c r="AI4" s="672">
        <f t="shared" si="0"/>
        <v>2049</v>
      </c>
      <c r="AJ4" s="672">
        <f t="shared" si="0"/>
        <v>2050</v>
      </c>
      <c r="AK4" s="672">
        <f t="shared" si="0"/>
        <v>2051</v>
      </c>
      <c r="AL4" s="672">
        <f t="shared" si="0"/>
        <v>2052</v>
      </c>
      <c r="AM4" s="672">
        <f t="shared" si="0"/>
        <v>2053</v>
      </c>
      <c r="AN4" s="672">
        <f t="shared" si="0"/>
        <v>2054</v>
      </c>
    </row>
    <row r="6" spans="2:40" x14ac:dyDescent="0.25">
      <c r="B6" t="s">
        <v>831</v>
      </c>
      <c r="C6" s="2" t="s">
        <v>825</v>
      </c>
      <c r="D6" s="880"/>
      <c r="E6" s="880">
        <f>SUMIFS('Emission Tab'!$C$6:$C$40,'Emission Tab'!$B$6:$B$40,E4)</f>
        <v>0.22421922320434318</v>
      </c>
      <c r="F6" s="880">
        <f>SUMIFS('Emission Tab'!$C$6:$C$40,'Emission Tab'!$B$6:$B$40,F4)</f>
        <v>0.19839267167509395</v>
      </c>
      <c r="G6" s="880">
        <f>SUMIFS('Emission Tab'!$C$6:$C$40,'Emission Tab'!$B$6:$B$40,G4)</f>
        <v>0.17256612014584471</v>
      </c>
      <c r="H6" s="880">
        <f>SUMIFS('Emission Tab'!$C$6:$C$40,'Emission Tab'!$B$6:$B$40,H4)</f>
        <v>0.14673956861659548</v>
      </c>
      <c r="I6" s="880">
        <f>SUMIFS('Emission Tab'!$C$6:$C$40,'Emission Tab'!$B$6:$B$40,I4)</f>
        <v>0.12091301708734625</v>
      </c>
      <c r="J6" s="880">
        <f>SUMIFS('Emission Tab'!$C$6:$C$40,'Emission Tab'!$B$6:$B$40,J4)</f>
        <v>9.5086465558097022E-2</v>
      </c>
      <c r="K6" s="880">
        <f>SUMIFS('Emission Tab'!$C$6:$C$40,'Emission Tab'!$B$6:$B$40,K4)</f>
        <v>4.343336249959856E-2</v>
      </c>
      <c r="L6" s="880">
        <f>SUMIFS('Emission Tab'!$C$6:$C$40,'Emission Tab'!$B$6:$B$40,L4)</f>
        <v>4.0669124643229866E-2</v>
      </c>
      <c r="M6" s="880">
        <f>SUMIFS('Emission Tab'!$C$6:$C$40,'Emission Tab'!$B$6:$B$40,M4)</f>
        <v>3.7904886786861172E-2</v>
      </c>
      <c r="N6" s="880">
        <f>SUMIFS('Emission Tab'!$C$6:$C$40,'Emission Tab'!$B$6:$B$40,N4)</f>
        <v>3.5140648930492478E-2</v>
      </c>
      <c r="O6" s="880">
        <f>SUMIFS('Emission Tab'!$C$6:$C$40,'Emission Tab'!$B$6:$B$40,O4)</f>
        <v>3.2376411074123784E-2</v>
      </c>
      <c r="P6" s="880">
        <f>SUMIFS('Emission Tab'!$C$6:$C$40,'Emission Tab'!$B$6:$B$40,P4)</f>
        <v>2.961217321775509E-2</v>
      </c>
      <c r="Q6" s="880">
        <f>SUMIFS('Emission Tab'!$C$6:$C$40,'Emission Tab'!$B$6:$B$40,Q4)</f>
        <v>2.6847935361386396E-2</v>
      </c>
      <c r="R6" s="880">
        <f>SUMIFS('Emission Tab'!$C$6:$C$40,'Emission Tab'!$B$6:$B$40,R4)</f>
        <v>2.4083697505017702E-2</v>
      </c>
      <c r="S6" s="880">
        <f>SUMIFS('Emission Tab'!$C$6:$C$40,'Emission Tab'!$B$6:$B$40,S4)</f>
        <v>2.1319459648649008E-2</v>
      </c>
      <c r="T6" s="880">
        <f>SUMIFS('Emission Tab'!$C$6:$C$40,'Emission Tab'!$B$6:$B$40,T4)</f>
        <v>1.8555221792280314E-2</v>
      </c>
      <c r="U6" s="880">
        <f>SUMIFS('Emission Tab'!$C$6:$C$40,'Emission Tab'!$B$6:$B$40,U4)</f>
        <v>1.3026746079542949E-2</v>
      </c>
      <c r="V6" s="880">
        <f>SUMIFS('Emission Tab'!$C$6:$C$40,'Emission Tab'!$B$6:$B$40,V4)</f>
        <v>1.2632379006692448E-2</v>
      </c>
      <c r="W6" s="880">
        <f>SUMIFS('Emission Tab'!$C$6:$C$40,'Emission Tab'!$B$6:$B$40,W4)</f>
        <v>1.2238011933841947E-2</v>
      </c>
      <c r="X6" s="880">
        <f>SUMIFS('Emission Tab'!$C$6:$C$40,'Emission Tab'!$B$6:$B$40,X4)</f>
        <v>1.1843644860991445E-2</v>
      </c>
      <c r="Y6" s="880">
        <f>SUMIFS('Emission Tab'!$C$6:$C$40,'Emission Tab'!$B$6:$B$40,Y4)</f>
        <v>1.1449277788140944E-2</v>
      </c>
      <c r="Z6" s="880">
        <f>SUMIFS('Emission Tab'!$C$6:$C$40,'Emission Tab'!$B$6:$B$40,Z4)</f>
        <v>1.1054910715290443E-2</v>
      </c>
      <c r="AA6" s="880">
        <f>SUMIFS('Emission Tab'!$C$6:$C$40,'Emission Tab'!$B$6:$B$40,AA4)</f>
        <v>1.0660543642439941E-2</v>
      </c>
      <c r="AB6" s="880">
        <f>SUMIFS('Emission Tab'!$C$6:$C$40,'Emission Tab'!$B$6:$B$40,AB4)</f>
        <v>1.026617656958944E-2</v>
      </c>
      <c r="AC6" s="880">
        <f>SUMIFS('Emission Tab'!$C$6:$C$40,'Emission Tab'!$B$6:$B$40,AC4)</f>
        <v>9.8718094967389387E-3</v>
      </c>
      <c r="AD6" s="880">
        <f>SUMIFS('Emission Tab'!$C$6:$C$40,'Emission Tab'!$B$6:$B$40,AD4)</f>
        <v>9.4774424238884374E-3</v>
      </c>
      <c r="AE6" s="880">
        <f>SUMIFS('Emission Tab'!$C$6:$C$40,'Emission Tab'!$B$6:$B$40,AE4)</f>
        <v>8.688708278187433E-3</v>
      </c>
      <c r="AF6" s="880">
        <f>SUMIFS('Emission Tab'!$C$6:$C$40,'Emission Tab'!$B$6:$B$40,AF4)</f>
        <v>8.688708278187433E-3</v>
      </c>
      <c r="AG6" s="880">
        <f>SUMIFS('Emission Tab'!$C$6:$C$40,'Emission Tab'!$B$6:$B$40,AG4)</f>
        <v>8.688708278187433E-3</v>
      </c>
      <c r="AH6" s="880">
        <f>SUMIFS('Emission Tab'!$C$6:$C$40,'Emission Tab'!$B$6:$B$40,AH4)</f>
        <v>8.688708278187433E-3</v>
      </c>
      <c r="AI6" s="880">
        <f>SUMIFS('Emission Tab'!$C$6:$C$40,'Emission Tab'!$B$6:$B$40,AI4)</f>
        <v>8.688708278187433E-3</v>
      </c>
      <c r="AJ6" s="880">
        <f>SUMIFS('Emission Tab'!$C$6:$C$40,'Emission Tab'!$B$6:$B$40,AJ4)</f>
        <v>8.688708278187433E-3</v>
      </c>
      <c r="AK6" s="880">
        <f>SUMIFS('Emission Tab'!$C$6:$C$40,'Emission Tab'!$B$6:$B$40,AK4)</f>
        <v>8.688708278187433E-3</v>
      </c>
      <c r="AL6" s="880">
        <f>SUMIFS('Emission Tab'!$C$6:$C$40,'Emission Tab'!$B$6:$B$40,AL4)</f>
        <v>8.688708278187433E-3</v>
      </c>
      <c r="AM6" s="880">
        <f>SUMIFS('Emission Tab'!$C$6:$C$40,'Emission Tab'!$B$6:$B$40,AM4)</f>
        <v>8.688708278187433E-3</v>
      </c>
      <c r="AN6" s="880">
        <f>AM6</f>
        <v>8.688708278187433E-3</v>
      </c>
    </row>
    <row r="7" spans="2:40" x14ac:dyDescent="0.25">
      <c r="B7" t="s">
        <v>832</v>
      </c>
      <c r="C7" s="2" t="s">
        <v>825</v>
      </c>
      <c r="D7" s="880"/>
      <c r="E7" s="880">
        <f>SUMIFS('Emission Tab'!$D$6:$D$40,'Emission Tab'!$B$6:$B$40,E4)</f>
        <v>4.7358764858336101E-2</v>
      </c>
      <c r="F7" s="880">
        <f>SUMIFS('Emission Tab'!$D$6:$D$40,'Emission Tab'!$B$6:$B$40,F4)</f>
        <v>4.1911473668551441E-2</v>
      </c>
      <c r="G7" s="880">
        <f>SUMIFS('Emission Tab'!$D$6:$D$40,'Emission Tab'!$B$6:$B$40,G4)</f>
        <v>3.6464182478766781E-2</v>
      </c>
      <c r="H7" s="880">
        <f>SUMIFS('Emission Tab'!$D$6:$D$40,'Emission Tab'!$B$6:$B$40,H4)</f>
        <v>3.1016891288982121E-2</v>
      </c>
      <c r="I7" s="880">
        <f>SUMIFS('Emission Tab'!$D$6:$D$40,'Emission Tab'!$B$6:$B$40,I4)</f>
        <v>2.5569600099197461E-2</v>
      </c>
      <c r="J7" s="880">
        <f>SUMIFS('Emission Tab'!$D$6:$D$40,'Emission Tab'!$B$6:$B$40,J4)</f>
        <v>2.01223089094128E-2</v>
      </c>
      <c r="K7" s="880">
        <f>SUMIFS('Emission Tab'!$D$6:$D$40,'Emission Tab'!$B$6:$B$40,K4)</f>
        <v>9.2277265298434767E-3</v>
      </c>
      <c r="L7" s="880">
        <f>SUMIFS('Emission Tab'!$D$6:$D$40,'Emission Tab'!$B$6:$B$40,L4)</f>
        <v>8.7396947470882395E-3</v>
      </c>
      <c r="M7" s="880">
        <f>SUMIFS('Emission Tab'!$D$6:$D$40,'Emission Tab'!$B$6:$B$40,M4)</f>
        <v>8.2516629643330022E-3</v>
      </c>
      <c r="N7" s="880">
        <f>SUMIFS('Emission Tab'!$D$6:$D$40,'Emission Tab'!$B$6:$B$40,N4)</f>
        <v>7.7636311815777641E-3</v>
      </c>
      <c r="O7" s="880">
        <f>SUMIFS('Emission Tab'!$D$6:$D$40,'Emission Tab'!$B$6:$B$40,O4)</f>
        <v>7.275599398822526E-3</v>
      </c>
      <c r="P7" s="880">
        <f>SUMIFS('Emission Tab'!$D$6:$D$40,'Emission Tab'!$B$6:$B$40,P4)</f>
        <v>6.7875676160672879E-3</v>
      </c>
      <c r="Q7" s="880">
        <f>SUMIFS('Emission Tab'!$D$6:$D$40,'Emission Tab'!$B$6:$B$40,Q4)</f>
        <v>6.2995358333120498E-3</v>
      </c>
      <c r="R7" s="880">
        <f>SUMIFS('Emission Tab'!$D$6:$D$40,'Emission Tab'!$B$6:$B$40,R4)</f>
        <v>5.8115040505568117E-3</v>
      </c>
      <c r="S7" s="880">
        <f>SUMIFS('Emission Tab'!$D$6:$D$40,'Emission Tab'!$B$6:$B$40,S4)</f>
        <v>5.3234722678015736E-3</v>
      </c>
      <c r="T7" s="880">
        <f>SUMIFS('Emission Tab'!$D$6:$D$40,'Emission Tab'!$B$6:$B$40,T4)</f>
        <v>4.8354404850463354E-3</v>
      </c>
      <c r="U7" s="880">
        <f>SUMIFS('Emission Tab'!$D$6:$D$40,'Emission Tab'!$B$6:$B$40,U4)</f>
        <v>3.8593769195358583E-3</v>
      </c>
      <c r="V7" s="880">
        <f>SUMIFS('Emission Tab'!$D$6:$D$40,'Emission Tab'!$B$6:$B$40,V4)</f>
        <v>3.7814814651359117E-3</v>
      </c>
      <c r="W7" s="880">
        <f>SUMIFS('Emission Tab'!$D$6:$D$40,'Emission Tab'!$B$6:$B$40,W4)</f>
        <v>3.7035860107359651E-3</v>
      </c>
      <c r="X7" s="880">
        <f>SUMIFS('Emission Tab'!$D$6:$D$40,'Emission Tab'!$B$6:$B$40,X4)</f>
        <v>3.6256905563360185E-3</v>
      </c>
      <c r="Y7" s="880">
        <f>SUMIFS('Emission Tab'!$D$6:$D$40,'Emission Tab'!$B$6:$B$40,Y4)</f>
        <v>3.5477951019360719E-3</v>
      </c>
      <c r="Z7" s="880">
        <f>SUMIFS('Emission Tab'!$D$6:$D$40,'Emission Tab'!$B$6:$B$40,Z4)</f>
        <v>3.4698996475361252E-3</v>
      </c>
      <c r="AA7" s="880">
        <f>SUMIFS('Emission Tab'!$D$6:$D$40,'Emission Tab'!$B$6:$B$40,AA4)</f>
        <v>3.3920041931361786E-3</v>
      </c>
      <c r="AB7" s="880">
        <f>SUMIFS('Emission Tab'!$D$6:$D$40,'Emission Tab'!$B$6:$B$40,AB4)</f>
        <v>3.314108738736232E-3</v>
      </c>
      <c r="AC7" s="880">
        <f>SUMIFS('Emission Tab'!$D$6:$D$40,'Emission Tab'!$B$6:$B$40,AC4)</f>
        <v>3.2362132843362854E-3</v>
      </c>
      <c r="AD7" s="880">
        <f>SUMIFS('Emission Tab'!$D$6:$D$40,'Emission Tab'!$B$6:$B$40,AD4)</f>
        <v>3.1583178299363387E-3</v>
      </c>
      <c r="AE7" s="880">
        <f>SUMIFS('Emission Tab'!$D$6:$D$40,'Emission Tab'!$B$6:$B$40,AE4)</f>
        <v>3.0025269211364477E-3</v>
      </c>
      <c r="AF7" s="880">
        <f>SUMIFS('Emission Tab'!$D$6:$D$40,'Emission Tab'!$B$6:$B$40,AF4)</f>
        <v>3.0025269211364477E-3</v>
      </c>
      <c r="AG7" s="880">
        <f>SUMIFS('Emission Tab'!$D$6:$D$40,'Emission Tab'!$B$6:$B$40,AG4)</f>
        <v>3.0025269211364477E-3</v>
      </c>
      <c r="AH7" s="880">
        <f>SUMIFS('Emission Tab'!$D$6:$D$40,'Emission Tab'!$B$6:$B$40,AH4)</f>
        <v>3.0025269211364477E-3</v>
      </c>
      <c r="AI7" s="880">
        <f>SUMIFS('Emission Tab'!$D$6:$D$40,'Emission Tab'!$B$6:$B$40,AI4)</f>
        <v>3.0025269211364477E-3</v>
      </c>
      <c r="AJ7" s="880">
        <f>SUMIFS('Emission Tab'!$D$6:$D$40,'Emission Tab'!$B$6:$B$40,AJ4)</f>
        <v>3.0025269211364477E-3</v>
      </c>
      <c r="AK7" s="880">
        <f>SUMIFS('Emission Tab'!$D$6:$D$40,'Emission Tab'!$B$6:$B$40,AK4)</f>
        <v>3.0025269211364477E-3</v>
      </c>
      <c r="AL7" s="880">
        <f>SUMIFS('Emission Tab'!$D$6:$D$40,'Emission Tab'!$B$6:$B$40,AL4)</f>
        <v>3.0025269211364477E-3</v>
      </c>
      <c r="AM7" s="880">
        <f>SUMIFS('Emission Tab'!$D$6:$D$40,'Emission Tab'!$B$6:$B$40,AM4)</f>
        <v>3.0025269211364477E-3</v>
      </c>
      <c r="AN7" s="880">
        <f t="shared" ref="AN7:AN10" si="1">AM7</f>
        <v>3.0025269211364477E-3</v>
      </c>
    </row>
    <row r="8" spans="2:40" x14ac:dyDescent="0.25">
      <c r="B8" t="s">
        <v>833</v>
      </c>
      <c r="C8" s="2" t="s">
        <v>825</v>
      </c>
      <c r="D8" s="880"/>
      <c r="E8" s="880">
        <f>SUMIFS('Emission Tab'!$E$6:$E$40,'Emission Tab'!$B$6:$B$40,E4)</f>
        <v>4.7267157663327406E-3</v>
      </c>
      <c r="F8" s="880">
        <f>SUMIFS('Emission Tab'!$E$6:$E$40,'Emission Tab'!$B$6:$B$40,F4)</f>
        <v>4.4438695774260796E-3</v>
      </c>
      <c r="G8" s="880">
        <f>SUMIFS('Emission Tab'!$E$6:$E$40,'Emission Tab'!$B$6:$B$40,G4)</f>
        <v>4.1610233885194187E-3</v>
      </c>
      <c r="H8" s="880">
        <f>SUMIFS('Emission Tab'!$E$6:$E$40,'Emission Tab'!$B$6:$B$40,H4)</f>
        <v>3.8781771996127582E-3</v>
      </c>
      <c r="I8" s="880">
        <f>SUMIFS('Emission Tab'!$E$6:$E$40,'Emission Tab'!$B$6:$B$40,I4)</f>
        <v>3.5953310107060977E-3</v>
      </c>
      <c r="J8" s="880">
        <f>SUMIFS('Emission Tab'!$E$6:$E$40,'Emission Tab'!$B$6:$B$40,J4)</f>
        <v>3.3124848217994372E-3</v>
      </c>
      <c r="K8" s="880">
        <f>SUMIFS('Emission Tab'!$E$6:$E$40,'Emission Tab'!$B$6:$B$40,K4)</f>
        <v>2.7467924439861166E-3</v>
      </c>
      <c r="L8" s="880">
        <f>SUMIFS('Emission Tab'!$E$6:$E$40,'Emission Tab'!$B$6:$B$40,L4)</f>
        <v>2.6585959942415369E-3</v>
      </c>
      <c r="M8" s="880">
        <f>SUMIFS('Emission Tab'!$E$6:$E$40,'Emission Tab'!$B$6:$B$40,M4)</f>
        <v>2.5703995444969572E-3</v>
      </c>
      <c r="N8" s="880">
        <f>SUMIFS('Emission Tab'!$E$6:$E$40,'Emission Tab'!$B$6:$B$40,N4)</f>
        <v>2.4822030947523775E-3</v>
      </c>
      <c r="O8" s="880">
        <f>SUMIFS('Emission Tab'!$E$6:$E$40,'Emission Tab'!$B$6:$B$40,O4)</f>
        <v>2.3940066450077978E-3</v>
      </c>
      <c r="P8" s="880">
        <f>SUMIFS('Emission Tab'!$E$6:$E$40,'Emission Tab'!$B$6:$B$40,P4)</f>
        <v>2.3058101952632181E-3</v>
      </c>
      <c r="Q8" s="880">
        <f>SUMIFS('Emission Tab'!$E$6:$E$40,'Emission Tab'!$B$6:$B$40,Q4)</f>
        <v>2.2176137455186384E-3</v>
      </c>
      <c r="R8" s="880">
        <f>SUMIFS('Emission Tab'!$E$6:$E$40,'Emission Tab'!$B$6:$B$40,R4)</f>
        <v>2.1294172957740587E-3</v>
      </c>
      <c r="S8" s="880">
        <f>SUMIFS('Emission Tab'!$E$6:$E$40,'Emission Tab'!$B$6:$B$40,S4)</f>
        <v>2.041220846029479E-3</v>
      </c>
      <c r="T8" s="880">
        <f>SUMIFS('Emission Tab'!$E$6:$E$40,'Emission Tab'!$B$6:$B$40,T4)</f>
        <v>1.9530243962848992E-3</v>
      </c>
      <c r="U8" s="880">
        <f>SUMIFS('Emission Tab'!$E$6:$E$40,'Emission Tab'!$B$6:$B$40,U4)</f>
        <v>1.7766314967957396E-3</v>
      </c>
      <c r="V8" s="880">
        <f>SUMIFS('Emission Tab'!$E$6:$E$40,'Emission Tab'!$B$6:$B$40,V4)</f>
        <v>1.7622303847701869E-3</v>
      </c>
      <c r="W8" s="880">
        <f>SUMIFS('Emission Tab'!$E$6:$E$40,'Emission Tab'!$B$6:$B$40,W4)</f>
        <v>1.7478292727446342E-3</v>
      </c>
      <c r="X8" s="880">
        <f>SUMIFS('Emission Tab'!$E$6:$E$40,'Emission Tab'!$B$6:$B$40,X4)</f>
        <v>1.7334281607190815E-3</v>
      </c>
      <c r="Y8" s="880">
        <f>SUMIFS('Emission Tab'!$E$6:$E$40,'Emission Tab'!$B$6:$B$40,Y4)</f>
        <v>1.7190270486935287E-3</v>
      </c>
      <c r="Z8" s="880">
        <f>SUMIFS('Emission Tab'!$E$6:$E$40,'Emission Tab'!$B$6:$B$40,Z4)</f>
        <v>1.704625936667976E-3</v>
      </c>
      <c r="AA8" s="880">
        <f>SUMIFS('Emission Tab'!$E$6:$E$40,'Emission Tab'!$B$6:$B$40,AA4)</f>
        <v>1.6902248246424233E-3</v>
      </c>
      <c r="AB8" s="880">
        <f>SUMIFS('Emission Tab'!$E$6:$E$40,'Emission Tab'!$B$6:$B$40,AB4)</f>
        <v>1.6758237126168706E-3</v>
      </c>
      <c r="AC8" s="880">
        <f>SUMIFS('Emission Tab'!$E$6:$E$40,'Emission Tab'!$B$6:$B$40,AC4)</f>
        <v>1.6614226005913179E-3</v>
      </c>
      <c r="AD8" s="880">
        <f>SUMIFS('Emission Tab'!$E$6:$E$40,'Emission Tab'!$B$6:$B$40,AD4)</f>
        <v>1.6470214885657651E-3</v>
      </c>
      <c r="AE8" s="880">
        <f>SUMIFS('Emission Tab'!$E$6:$E$40,'Emission Tab'!$B$6:$B$40,AE4)</f>
        <v>1.6182192645146601E-3</v>
      </c>
      <c r="AF8" s="880">
        <f>SUMIFS('Emission Tab'!$E$6:$E$40,'Emission Tab'!$B$6:$B$40,AF4)</f>
        <v>1.6182192645146601E-3</v>
      </c>
      <c r="AG8" s="880">
        <f>SUMIFS('Emission Tab'!$E$6:$E$40,'Emission Tab'!$B$6:$B$40,AG4)</f>
        <v>1.6182192645146601E-3</v>
      </c>
      <c r="AH8" s="880">
        <f>SUMIFS('Emission Tab'!$E$6:$E$40,'Emission Tab'!$B$6:$B$40,AH4)</f>
        <v>1.6182192645146601E-3</v>
      </c>
      <c r="AI8" s="880">
        <f>SUMIFS('Emission Tab'!$E$6:$E$40,'Emission Tab'!$B$6:$B$40,AI4)</f>
        <v>1.6182192645146601E-3</v>
      </c>
      <c r="AJ8" s="880">
        <f>SUMIFS('Emission Tab'!$E$6:$E$40,'Emission Tab'!$B$6:$B$40,AJ4)</f>
        <v>1.6182192645146601E-3</v>
      </c>
      <c r="AK8" s="880">
        <f>SUMIFS('Emission Tab'!$E$6:$E$40,'Emission Tab'!$B$6:$B$40,AK4)</f>
        <v>1.6182192645146601E-3</v>
      </c>
      <c r="AL8" s="880">
        <f>SUMIFS('Emission Tab'!$E$6:$E$40,'Emission Tab'!$B$6:$B$40,AL4)</f>
        <v>1.6182192645146601E-3</v>
      </c>
      <c r="AM8" s="880">
        <f>SUMIFS('Emission Tab'!$E$6:$E$40,'Emission Tab'!$B$6:$B$40,AM4)</f>
        <v>1.6182192645146601E-3</v>
      </c>
      <c r="AN8" s="880">
        <f t="shared" si="1"/>
        <v>1.6182192645146601E-3</v>
      </c>
    </row>
    <row r="9" spans="2:40" x14ac:dyDescent="0.25">
      <c r="B9" t="s">
        <v>834</v>
      </c>
      <c r="C9" s="2" t="s">
        <v>825</v>
      </c>
      <c r="D9" s="880"/>
      <c r="E9" s="880">
        <f>SUMIFS('Emission Tab'!$F$6:$F$40,'Emission Tab'!$B$6:$B$40,E4)</f>
        <v>5.7863661044393645E-3</v>
      </c>
      <c r="F9" s="880">
        <f>SUMIFS('Emission Tab'!$F$6:$F$40,'Emission Tab'!$B$6:$B$40,F4)</f>
        <v>5.227868986548854E-3</v>
      </c>
      <c r="G9" s="880">
        <f>SUMIFS('Emission Tab'!$F$6:$F$40,'Emission Tab'!$B$6:$B$40,G4)</f>
        <v>4.6693718686583435E-3</v>
      </c>
      <c r="H9" s="880">
        <f>SUMIFS('Emission Tab'!$F$6:$F$40,'Emission Tab'!$B$6:$B$40,H4)</f>
        <v>4.1108747507678329E-3</v>
      </c>
      <c r="I9" s="880">
        <f>SUMIFS('Emission Tab'!$F$6:$F$40,'Emission Tab'!$B$6:$B$40,I4)</f>
        <v>3.5523776328773224E-3</v>
      </c>
      <c r="J9" s="880">
        <f>SUMIFS('Emission Tab'!$F$6:$F$40,'Emission Tab'!$B$6:$B$40,J4)</f>
        <v>2.9938805149868119E-3</v>
      </c>
      <c r="K9" s="880">
        <f>SUMIFS('Emission Tab'!$F$6:$F$40,'Emission Tab'!$B$6:$B$40,K4)</f>
        <v>1.8768862792057886E-3</v>
      </c>
      <c r="L9" s="880">
        <f>SUMIFS('Emission Tab'!$F$6:$F$40,'Emission Tab'!$B$6:$B$40,L4)</f>
        <v>1.8382103682432125E-3</v>
      </c>
      <c r="M9" s="880">
        <f>SUMIFS('Emission Tab'!$F$6:$F$40,'Emission Tab'!$B$6:$B$40,M4)</f>
        <v>1.7995344572806363E-3</v>
      </c>
      <c r="N9" s="880">
        <f>SUMIFS('Emission Tab'!$F$6:$F$40,'Emission Tab'!$B$6:$B$40,N4)</f>
        <v>1.7608585463180601E-3</v>
      </c>
      <c r="O9" s="880">
        <f>SUMIFS('Emission Tab'!$F$6:$F$40,'Emission Tab'!$B$6:$B$40,O4)</f>
        <v>1.722182635355484E-3</v>
      </c>
      <c r="P9" s="880">
        <f>SUMIFS('Emission Tab'!$F$6:$F$40,'Emission Tab'!$B$6:$B$40,P4)</f>
        <v>1.6835067243929078E-3</v>
      </c>
      <c r="Q9" s="880">
        <f>SUMIFS('Emission Tab'!$F$6:$F$40,'Emission Tab'!$B$6:$B$40,Q4)</f>
        <v>1.6448308134303317E-3</v>
      </c>
      <c r="R9" s="880">
        <f>SUMIFS('Emission Tab'!$F$6:$F$40,'Emission Tab'!$B$6:$B$40,R4)</f>
        <v>1.6061549024677555E-3</v>
      </c>
      <c r="S9" s="880">
        <f>SUMIFS('Emission Tab'!$F$6:$F$40,'Emission Tab'!$B$6:$B$40,S4)</f>
        <v>1.5674789915051794E-3</v>
      </c>
      <c r="T9" s="880">
        <f>SUMIFS('Emission Tab'!$F$6:$F$40,'Emission Tab'!$B$6:$B$40,T4)</f>
        <v>1.5288030805426032E-3</v>
      </c>
      <c r="U9" s="880">
        <f>SUMIFS('Emission Tab'!$F$6:$F$40,'Emission Tab'!$B$6:$B$40,U4)</f>
        <v>1.4514512586174498E-3</v>
      </c>
      <c r="V9" s="880">
        <f>SUMIFS('Emission Tab'!$F$6:$F$40,'Emission Tab'!$B$6:$B$40,V4)</f>
        <v>1.4461179631656341E-3</v>
      </c>
      <c r="W9" s="880">
        <f>SUMIFS('Emission Tab'!$F$6:$F$40,'Emission Tab'!$B$6:$B$40,W4)</f>
        <v>1.4407846677138183E-3</v>
      </c>
      <c r="X9" s="880">
        <f>SUMIFS('Emission Tab'!$F$6:$F$40,'Emission Tab'!$B$6:$B$40,X4)</f>
        <v>1.4354513722620026E-3</v>
      </c>
      <c r="Y9" s="880">
        <f>SUMIFS('Emission Tab'!$F$6:$F$40,'Emission Tab'!$B$6:$B$40,Y4)</f>
        <v>1.4301180768101869E-3</v>
      </c>
      <c r="Z9" s="880">
        <f>SUMIFS('Emission Tab'!$F$6:$F$40,'Emission Tab'!$B$6:$B$40,Z4)</f>
        <v>1.4247847813583711E-3</v>
      </c>
      <c r="AA9" s="880">
        <f>SUMIFS('Emission Tab'!$F$6:$F$40,'Emission Tab'!$B$6:$B$40,AA4)</f>
        <v>1.4194514859065554E-3</v>
      </c>
      <c r="AB9" s="880">
        <f>SUMIFS('Emission Tab'!$F$6:$F$40,'Emission Tab'!$B$6:$B$40,AB4)</f>
        <v>1.4141181904547397E-3</v>
      </c>
      <c r="AC9" s="880">
        <f>SUMIFS('Emission Tab'!$F$6:$F$40,'Emission Tab'!$B$6:$B$40,AC4)</f>
        <v>1.4087848950029239E-3</v>
      </c>
      <c r="AD9" s="880">
        <f>SUMIFS('Emission Tab'!$F$6:$F$40,'Emission Tab'!$B$6:$B$40,AD4)</f>
        <v>1.4034515995511082E-3</v>
      </c>
      <c r="AE9" s="880">
        <f>SUMIFS('Emission Tab'!$F$6:$F$40,'Emission Tab'!$B$6:$B$40,AE4)</f>
        <v>1.3927850086474761E-3</v>
      </c>
      <c r="AF9" s="880">
        <f>SUMIFS('Emission Tab'!$F$6:$F$40,'Emission Tab'!$B$6:$B$40,AF4)</f>
        <v>1.3927850086474761E-3</v>
      </c>
      <c r="AG9" s="880">
        <f>SUMIFS('Emission Tab'!$F$6:$F$40,'Emission Tab'!$B$6:$B$40,AG4)</f>
        <v>1.3927850086474761E-3</v>
      </c>
      <c r="AH9" s="880">
        <f>SUMIFS('Emission Tab'!$F$6:$F$40,'Emission Tab'!$B$6:$B$40,AH4)</f>
        <v>1.3927850086474761E-3</v>
      </c>
      <c r="AI9" s="880">
        <f>SUMIFS('Emission Tab'!$F$6:$F$40,'Emission Tab'!$B$6:$B$40,AI4)</f>
        <v>1.3927850086474761E-3</v>
      </c>
      <c r="AJ9" s="880">
        <f>SUMIFS('Emission Tab'!$F$6:$F$40,'Emission Tab'!$B$6:$B$40,AJ4)</f>
        <v>1.3927850086474761E-3</v>
      </c>
      <c r="AK9" s="880">
        <f>SUMIFS('Emission Tab'!$F$6:$F$40,'Emission Tab'!$B$6:$B$40,AK4)</f>
        <v>1.3927850086474761E-3</v>
      </c>
      <c r="AL9" s="880">
        <f>SUMIFS('Emission Tab'!$F$6:$F$40,'Emission Tab'!$B$6:$B$40,AL4)</f>
        <v>1.3927850086474761E-3</v>
      </c>
      <c r="AM9" s="880">
        <f>SUMIFS('Emission Tab'!$F$6:$F$40,'Emission Tab'!$B$6:$B$40,AM4)</f>
        <v>1.3927850086474761E-3</v>
      </c>
      <c r="AN9" s="880">
        <f t="shared" si="1"/>
        <v>1.3927850086474761E-3</v>
      </c>
    </row>
    <row r="10" spans="2:40" x14ac:dyDescent="0.25">
      <c r="B10" t="s">
        <v>835</v>
      </c>
      <c r="C10" s="2" t="s">
        <v>825</v>
      </c>
      <c r="D10" s="896"/>
      <c r="E10" s="896">
        <f>SUMIFS('Emission Tab'!$G$6:$G$40,'Emission Tab'!$B$6:$B$40,E4)</f>
        <v>346.50724525451602</v>
      </c>
      <c r="F10" s="896">
        <f>SUMIFS('Emission Tab'!$G$6:$G$40,'Emission Tab'!$B$6:$B$40,F4)</f>
        <v>337.26149520873963</v>
      </c>
      <c r="G10" s="896">
        <f>SUMIFS('Emission Tab'!$G$6:$G$40,'Emission Tab'!$B$6:$B$40,G4)</f>
        <v>328.01574516296324</v>
      </c>
      <c r="H10" s="896">
        <f>SUMIFS('Emission Tab'!$G$6:$G$40,'Emission Tab'!$B$6:$B$40,H4)</f>
        <v>318.76999511718685</v>
      </c>
      <c r="I10" s="896">
        <f>SUMIFS('Emission Tab'!$G$6:$G$40,'Emission Tab'!$B$6:$B$40,I4)</f>
        <v>309.52424507141046</v>
      </c>
      <c r="J10" s="896">
        <f>SUMIFS('Emission Tab'!$G$6:$G$40,'Emission Tab'!$B$6:$B$40,J4)</f>
        <v>300.27849502563407</v>
      </c>
      <c r="K10" s="896">
        <f>SUMIFS('Emission Tab'!$G$6:$G$40,'Emission Tab'!$B$6:$B$40,K4)</f>
        <v>281.78699493408141</v>
      </c>
      <c r="L10" s="896">
        <f>SUMIFS('Emission Tab'!$G$6:$G$40,'Emission Tab'!$B$6:$B$40,L4)</f>
        <v>275.89749509637943</v>
      </c>
      <c r="M10" s="896">
        <f>SUMIFS('Emission Tab'!$G$6:$G$40,'Emission Tab'!$B$6:$B$40,M4)</f>
        <v>270.00799525867745</v>
      </c>
      <c r="N10" s="896">
        <f>SUMIFS('Emission Tab'!$G$6:$G$40,'Emission Tab'!$B$6:$B$40,N4)</f>
        <v>264.11849542097548</v>
      </c>
      <c r="O10" s="896">
        <f>SUMIFS('Emission Tab'!$G$6:$G$40,'Emission Tab'!$B$6:$B$40,O4)</f>
        <v>258.2289955832735</v>
      </c>
      <c r="P10" s="896">
        <f>SUMIFS('Emission Tab'!$G$6:$G$40,'Emission Tab'!$B$6:$B$40,P4)</f>
        <v>252.33949574557153</v>
      </c>
      <c r="Q10" s="896">
        <f>SUMIFS('Emission Tab'!$G$6:$G$40,'Emission Tab'!$B$6:$B$40,Q4)</f>
        <v>246.44999590786955</v>
      </c>
      <c r="R10" s="896">
        <f>SUMIFS('Emission Tab'!$G$6:$G$40,'Emission Tab'!$B$6:$B$40,R4)</f>
        <v>240.56049607016757</v>
      </c>
      <c r="S10" s="896">
        <f>SUMIFS('Emission Tab'!$G$6:$G$40,'Emission Tab'!$B$6:$B$40,S4)</f>
        <v>234.6709962324656</v>
      </c>
      <c r="T10" s="896">
        <f>SUMIFS('Emission Tab'!$G$6:$G$40,'Emission Tab'!$B$6:$B$40,T4)</f>
        <v>228.78149639476362</v>
      </c>
      <c r="U10" s="896">
        <f>SUMIFS('Emission Tab'!$G$6:$G$40,'Emission Tab'!$B$6:$B$40,U4)</f>
        <v>217.00249671935973</v>
      </c>
      <c r="V10" s="896">
        <f>SUMIFS('Emission Tab'!$G$6:$G$40,'Emission Tab'!$B$6:$B$40,V4)</f>
        <v>216.13899681784832</v>
      </c>
      <c r="W10" s="896">
        <f>SUMIFS('Emission Tab'!$G$6:$G$40,'Emission Tab'!$B$6:$B$40,W4)</f>
        <v>215.27549691633692</v>
      </c>
      <c r="X10" s="896">
        <f>SUMIFS('Emission Tab'!$G$6:$G$40,'Emission Tab'!$B$6:$B$40,X4)</f>
        <v>214.41199701482552</v>
      </c>
      <c r="Y10" s="896">
        <f>SUMIFS('Emission Tab'!$G$6:$G$40,'Emission Tab'!$B$6:$B$40,Y4)</f>
        <v>213.54849711331411</v>
      </c>
      <c r="Z10" s="896">
        <f>SUMIFS('Emission Tab'!$G$6:$G$40,'Emission Tab'!$B$6:$B$40,Z4)</f>
        <v>212.68499721180271</v>
      </c>
      <c r="AA10" s="896">
        <f>SUMIFS('Emission Tab'!$G$6:$G$40,'Emission Tab'!$B$6:$B$40,AA4)</f>
        <v>211.82149731029131</v>
      </c>
      <c r="AB10" s="896">
        <f>SUMIFS('Emission Tab'!$G$6:$G$40,'Emission Tab'!$B$6:$B$40,AB4)</f>
        <v>210.9579974087799</v>
      </c>
      <c r="AC10" s="896">
        <f>SUMIFS('Emission Tab'!$G$6:$G$40,'Emission Tab'!$B$6:$B$40,AC4)</f>
        <v>210.0944975072685</v>
      </c>
      <c r="AD10" s="896">
        <f>SUMIFS('Emission Tab'!$G$6:$G$40,'Emission Tab'!$B$6:$B$40,AD4)</f>
        <v>209.2309976057571</v>
      </c>
      <c r="AE10" s="896">
        <f>SUMIFS('Emission Tab'!$G$6:$G$40,'Emission Tab'!$B$6:$B$40,AE4)</f>
        <v>207.50399780273426</v>
      </c>
      <c r="AF10" s="896">
        <f>SUMIFS('Emission Tab'!$G$6:$G$40,'Emission Tab'!$B$6:$B$40,AF4)</f>
        <v>207.50399780273426</v>
      </c>
      <c r="AG10" s="896">
        <f>SUMIFS('Emission Tab'!$G$6:$G$40,'Emission Tab'!$B$6:$B$40,AG4)</f>
        <v>207.50399780273426</v>
      </c>
      <c r="AH10" s="896">
        <f>SUMIFS('Emission Tab'!$G$6:$G$40,'Emission Tab'!$B$6:$B$40,AH4)</f>
        <v>207.50399780273426</v>
      </c>
      <c r="AI10" s="896">
        <f>SUMIFS('Emission Tab'!$G$6:$G$40,'Emission Tab'!$B$6:$B$40,AI4)</f>
        <v>207.50399780273426</v>
      </c>
      <c r="AJ10" s="896">
        <f>SUMIFS('Emission Tab'!$G$6:$G$40,'Emission Tab'!$B$6:$B$40,AJ4)</f>
        <v>207.50399780273426</v>
      </c>
      <c r="AK10" s="896">
        <f>SUMIFS('Emission Tab'!$G$6:$G$40,'Emission Tab'!$B$6:$B$40,AK4)</f>
        <v>207.50399780273426</v>
      </c>
      <c r="AL10" s="896">
        <f>SUMIFS('Emission Tab'!$G$6:$G$40,'Emission Tab'!$B$6:$B$40,AL4)</f>
        <v>207.50399780273426</v>
      </c>
      <c r="AM10" s="896">
        <f>SUMIFS('Emission Tab'!$G$6:$G$40,'Emission Tab'!$B$6:$B$40,AM4)</f>
        <v>207.50399780273426</v>
      </c>
      <c r="AN10" s="896">
        <f t="shared" si="1"/>
        <v>207.50399780273426</v>
      </c>
    </row>
    <row r="11" spans="2:40" x14ac:dyDescent="0.25">
      <c r="D11" s="880"/>
      <c r="E11" s="880"/>
      <c r="F11" s="880"/>
      <c r="G11" s="880"/>
      <c r="H11" s="880"/>
      <c r="I11" s="880"/>
      <c r="J11" s="880"/>
      <c r="K11" s="880"/>
      <c r="L11" s="880"/>
      <c r="M11" s="880"/>
      <c r="N11" s="880"/>
      <c r="O11" s="880"/>
      <c r="P11" s="880"/>
      <c r="Q11" s="880"/>
      <c r="R11" s="880"/>
      <c r="S11" s="880"/>
      <c r="T11" s="880"/>
      <c r="U11" s="880"/>
      <c r="V11" s="880"/>
      <c r="W11" s="880"/>
      <c r="X11" s="880"/>
      <c r="Y11" s="880"/>
      <c r="Z11" s="880"/>
      <c r="AA11" s="880"/>
      <c r="AB11" s="880"/>
      <c r="AC11" s="880"/>
      <c r="AD11" s="880"/>
      <c r="AE11" s="880"/>
      <c r="AF11" s="880"/>
      <c r="AG11" s="880"/>
      <c r="AH11" s="880"/>
      <c r="AI11" s="880"/>
      <c r="AJ11" s="880"/>
      <c r="AK11" s="880"/>
      <c r="AL11" s="880"/>
      <c r="AM11" s="880"/>
      <c r="AN11" s="880"/>
    </row>
    <row r="12" spans="2:40" x14ac:dyDescent="0.25">
      <c r="B12" t="s">
        <v>815</v>
      </c>
      <c r="C12" s="2" t="s">
        <v>825</v>
      </c>
      <c r="D12" s="880"/>
      <c r="E12" s="880">
        <f>SUMIFS('Emission Tab'!$J$6:$J$40,'Emission Tab'!$I$6:$I$40,E4)</f>
        <v>4.9672556335651246</v>
      </c>
      <c r="F12" s="880">
        <f>SUMIFS('Emission Tab'!$J$6:$J$40,'Emission Tab'!$I$6:$I$40,F4)</f>
        <v>4.5677125512880554</v>
      </c>
      <c r="G12" s="880">
        <f>SUMIFS('Emission Tab'!$J$6:$J$40,'Emission Tab'!$I$6:$I$40,G4)</f>
        <v>4.1681694690109863</v>
      </c>
      <c r="H12" s="880">
        <f>SUMIFS('Emission Tab'!$J$6:$J$40,'Emission Tab'!$I$6:$I$40,H4)</f>
        <v>3.7686263867339176</v>
      </c>
      <c r="I12" s="880">
        <f>SUMIFS('Emission Tab'!$J$6:$J$40,'Emission Tab'!$I$6:$I$40,I4)</f>
        <v>3.3690833044568489</v>
      </c>
      <c r="J12" s="880">
        <f>SUMIFS('Emission Tab'!$J$6:$J$40,'Emission Tab'!$I$6:$I$40,J4)</f>
        <v>2.9695402221797802</v>
      </c>
      <c r="K12" s="880">
        <f>SUMIFS('Emission Tab'!$J$6:$J$40,'Emission Tab'!$I$6:$I$40,K4)</f>
        <v>2.1704540576256446</v>
      </c>
      <c r="L12" s="880">
        <f>SUMIFS('Emission Tab'!$J$6:$J$40,'Emission Tab'!$I$6:$I$40,L4)</f>
        <v>2.0906059608620566</v>
      </c>
      <c r="M12" s="880">
        <f>SUMIFS('Emission Tab'!$J$6:$J$40,'Emission Tab'!$I$6:$I$40,M4)</f>
        <v>2.0107578640984691</v>
      </c>
      <c r="N12" s="880">
        <f>SUMIFS('Emission Tab'!$J$6:$J$40,'Emission Tab'!$I$6:$I$40,N4)</f>
        <v>1.9309097673348814</v>
      </c>
      <c r="O12" s="880">
        <f>SUMIFS('Emission Tab'!$J$6:$J$40,'Emission Tab'!$I$6:$I$40,O4)</f>
        <v>1.8510616705712937</v>
      </c>
      <c r="P12" s="880">
        <f>SUMIFS('Emission Tab'!$J$6:$J$40,'Emission Tab'!$I$6:$I$40,P4)</f>
        <v>1.7712135738077059</v>
      </c>
      <c r="Q12" s="880">
        <f>SUMIFS('Emission Tab'!$J$6:$J$40,'Emission Tab'!$I$6:$I$40,Q4)</f>
        <v>1.6913654770441182</v>
      </c>
      <c r="R12" s="880">
        <f>SUMIFS('Emission Tab'!$J$6:$J$40,'Emission Tab'!$I$6:$I$40,R4)</f>
        <v>1.6115173802805305</v>
      </c>
      <c r="S12" s="880">
        <f>SUMIFS('Emission Tab'!$J$6:$J$40,'Emission Tab'!$I$6:$I$40,S4)</f>
        <v>1.5316692835169428</v>
      </c>
      <c r="T12" s="880">
        <f>SUMIFS('Emission Tab'!$J$6:$J$40,'Emission Tab'!$I$6:$I$40,T4)</f>
        <v>1.451821186753355</v>
      </c>
      <c r="U12" s="880">
        <f>SUMIFS('Emission Tab'!$J$6:$J$40,'Emission Tab'!$I$6:$I$40,U4)</f>
        <v>1.2921249932261796</v>
      </c>
      <c r="V12" s="880">
        <f>SUMIFS('Emission Tab'!$J$6:$J$40,'Emission Tab'!$I$6:$I$40,V4)</f>
        <v>1.2878363310805314</v>
      </c>
      <c r="W12" s="880">
        <f>SUMIFS('Emission Tab'!$J$6:$J$40,'Emission Tab'!$I$6:$I$40,W4)</f>
        <v>1.2835476689348833</v>
      </c>
      <c r="X12" s="880">
        <f>SUMIFS('Emission Tab'!$J$6:$J$40,'Emission Tab'!$I$6:$I$40,X4)</f>
        <v>1.2792590067892351</v>
      </c>
      <c r="Y12" s="880">
        <f>SUMIFS('Emission Tab'!$J$6:$J$40,'Emission Tab'!$I$6:$I$40,Y4)</f>
        <v>1.2749703446435869</v>
      </c>
      <c r="Z12" s="880">
        <f>SUMIFS('Emission Tab'!$J$6:$J$40,'Emission Tab'!$I$6:$I$40,Z4)</f>
        <v>1.2706816824979388</v>
      </c>
      <c r="AA12" s="880">
        <f>SUMIFS('Emission Tab'!$J$6:$J$40,'Emission Tab'!$I$6:$I$40,AA4)</f>
        <v>1.2663930203522906</v>
      </c>
      <c r="AB12" s="880">
        <f>SUMIFS('Emission Tab'!$J$6:$J$40,'Emission Tab'!$I$6:$I$40,AB4)</f>
        <v>1.2621043582066425</v>
      </c>
      <c r="AC12" s="880">
        <f>SUMIFS('Emission Tab'!$J$6:$J$40,'Emission Tab'!$I$6:$I$40,AC4)</f>
        <v>1.2578156960609943</v>
      </c>
      <c r="AD12" s="880">
        <f>SUMIFS('Emission Tab'!$J$6:$J$40,'Emission Tab'!$I$6:$I$40,AD4)</f>
        <v>1.2535270339153461</v>
      </c>
      <c r="AE12" s="880">
        <f>SUMIFS('Emission Tab'!$J$6:$J$40,'Emission Tab'!$I$6:$I$40,AE4)</f>
        <v>1.2449497096240496</v>
      </c>
      <c r="AF12" s="880">
        <f>SUMIFS('Emission Tab'!$J$6:$J$40,'Emission Tab'!$I$6:$I$40,AF4)</f>
        <v>1.2449497096240496</v>
      </c>
      <c r="AG12" s="880">
        <f>SUMIFS('Emission Tab'!$J$6:$J$40,'Emission Tab'!$I$6:$I$40,AG4)</f>
        <v>1.2449497096240496</v>
      </c>
      <c r="AH12" s="880">
        <f>SUMIFS('Emission Tab'!$J$6:$J$40,'Emission Tab'!$I$6:$I$40,AH4)</f>
        <v>1.2449497096240496</v>
      </c>
      <c r="AI12" s="880">
        <f>SUMIFS('Emission Tab'!$J$6:$J$40,'Emission Tab'!$I$6:$I$40,AI4)</f>
        <v>1.2449497096240496</v>
      </c>
      <c r="AJ12" s="880">
        <f>SUMIFS('Emission Tab'!$J$6:$J$40,'Emission Tab'!$I$6:$I$40,AJ4)</f>
        <v>1.2449497096240496</v>
      </c>
      <c r="AK12" s="880">
        <f>SUMIFS('Emission Tab'!$J$6:$J$40,'Emission Tab'!$I$6:$I$40,AK4)</f>
        <v>1.2449497096240496</v>
      </c>
      <c r="AL12" s="880">
        <f>SUMIFS('Emission Tab'!$J$6:$J$40,'Emission Tab'!$I$6:$I$40,AL4)</f>
        <v>1.2449497096240496</v>
      </c>
      <c r="AM12" s="880">
        <f>SUMIFS('Emission Tab'!$J$6:$J$40,'Emission Tab'!$I$6:$I$40,AM4)</f>
        <v>1.2449497096240496</v>
      </c>
      <c r="AN12" s="880">
        <f>AM12</f>
        <v>1.2449497096240496</v>
      </c>
    </row>
    <row r="13" spans="2:40" x14ac:dyDescent="0.25">
      <c r="B13" t="s">
        <v>816</v>
      </c>
      <c r="C13" s="2" t="s">
        <v>825</v>
      </c>
      <c r="D13" s="880"/>
      <c r="E13" s="880">
        <f>SUMIFS('Emission Tab'!$K$6:$K$40,'Emission Tab'!$I$6:$I$40,E4)</f>
        <v>0.38672459558438249</v>
      </c>
      <c r="F13" s="880">
        <f>SUMIFS('Emission Tab'!$K$6:$K$40,'Emission Tab'!$I$6:$I$40,F4)</f>
        <v>0.35140793859318331</v>
      </c>
      <c r="G13" s="880">
        <f>SUMIFS('Emission Tab'!$K$6:$K$40,'Emission Tab'!$I$6:$I$40,G4)</f>
        <v>0.31609128160198413</v>
      </c>
      <c r="H13" s="880">
        <f>SUMIFS('Emission Tab'!$K$6:$K$40,'Emission Tab'!$I$6:$I$40,H4)</f>
        <v>0.28077462461078495</v>
      </c>
      <c r="I13" s="880">
        <f>SUMIFS('Emission Tab'!$K$6:$K$40,'Emission Tab'!$I$6:$I$40,I4)</f>
        <v>0.24545796761958577</v>
      </c>
      <c r="J13" s="880">
        <f>SUMIFS('Emission Tab'!$K$6:$K$40,'Emission Tab'!$I$6:$I$40,J4)</f>
        <v>0.21014131062838659</v>
      </c>
      <c r="K13" s="880">
        <f>SUMIFS('Emission Tab'!$K$6:$K$40,'Emission Tab'!$I$6:$I$40,K4)</f>
        <v>0.1395079966459882</v>
      </c>
      <c r="L13" s="880">
        <f>SUMIFS('Emission Tab'!$K$6:$K$40,'Emission Tab'!$I$6:$I$40,L4)</f>
        <v>0.13290501357839771</v>
      </c>
      <c r="M13" s="880">
        <f>SUMIFS('Emission Tab'!$K$6:$K$40,'Emission Tab'!$I$6:$I$40,M4)</f>
        <v>0.12630203051080721</v>
      </c>
      <c r="N13" s="880">
        <f>SUMIFS('Emission Tab'!$K$6:$K$40,'Emission Tab'!$I$6:$I$40,N4)</f>
        <v>0.11969904744321672</v>
      </c>
      <c r="O13" s="880">
        <f>SUMIFS('Emission Tab'!$K$6:$K$40,'Emission Tab'!$I$6:$I$40,O4)</f>
        <v>0.11309606437562622</v>
      </c>
      <c r="P13" s="880">
        <f>SUMIFS('Emission Tab'!$K$6:$K$40,'Emission Tab'!$I$6:$I$40,P4)</f>
        <v>0.10649308130803573</v>
      </c>
      <c r="Q13" s="880">
        <f>SUMIFS('Emission Tab'!$K$6:$K$40,'Emission Tab'!$I$6:$I$40,Q4)</f>
        <v>9.989009824044523E-2</v>
      </c>
      <c r="R13" s="880">
        <f>SUMIFS('Emission Tab'!$K$6:$K$40,'Emission Tab'!$I$6:$I$40,R4)</f>
        <v>9.3287115172854734E-2</v>
      </c>
      <c r="S13" s="880">
        <f>SUMIFS('Emission Tab'!$K$6:$K$40,'Emission Tab'!$I$6:$I$40,S4)</f>
        <v>8.6684132105264239E-2</v>
      </c>
      <c r="T13" s="880">
        <f>SUMIFS('Emission Tab'!$K$6:$K$40,'Emission Tab'!$I$6:$I$40,T4)</f>
        <v>8.0081149037673743E-2</v>
      </c>
      <c r="U13" s="880">
        <f>SUMIFS('Emission Tab'!$K$6:$K$40,'Emission Tab'!$I$6:$I$40,U4)</f>
        <v>6.6875182902492711E-2</v>
      </c>
      <c r="V13" s="880">
        <f>SUMIFS('Emission Tab'!$K$6:$K$40,'Emission Tab'!$I$6:$I$40,V4)</f>
        <v>6.6648314131302025E-2</v>
      </c>
      <c r="W13" s="880">
        <f>SUMIFS('Emission Tab'!$K$6:$K$40,'Emission Tab'!$I$6:$I$40,W4)</f>
        <v>6.6421445360111339E-2</v>
      </c>
      <c r="X13" s="880">
        <f>SUMIFS('Emission Tab'!$K$6:$K$40,'Emission Tab'!$I$6:$I$40,X4)</f>
        <v>6.6194576588920653E-2</v>
      </c>
      <c r="Y13" s="880">
        <f>SUMIFS('Emission Tab'!$K$6:$K$40,'Emission Tab'!$I$6:$I$40,Y4)</f>
        <v>6.5967707817729968E-2</v>
      </c>
      <c r="Z13" s="880">
        <f>SUMIFS('Emission Tab'!$K$6:$K$40,'Emission Tab'!$I$6:$I$40,Z4)</f>
        <v>6.5740839046539282E-2</v>
      </c>
      <c r="AA13" s="880">
        <f>SUMIFS('Emission Tab'!$K$6:$K$40,'Emission Tab'!$I$6:$I$40,AA4)</f>
        <v>6.5513970275348596E-2</v>
      </c>
      <c r="AB13" s="880">
        <f>SUMIFS('Emission Tab'!$K$6:$K$40,'Emission Tab'!$I$6:$I$40,AB4)</f>
        <v>6.528710150415791E-2</v>
      </c>
      <c r="AC13" s="880">
        <f>SUMIFS('Emission Tab'!$K$6:$K$40,'Emission Tab'!$I$6:$I$40,AC4)</f>
        <v>6.5060232732967224E-2</v>
      </c>
      <c r="AD13" s="880">
        <f>SUMIFS('Emission Tab'!$K$6:$K$40,'Emission Tab'!$I$6:$I$40,AD4)</f>
        <v>6.4833363961776538E-2</v>
      </c>
      <c r="AE13" s="880">
        <f>SUMIFS('Emission Tab'!$K$6:$K$40,'Emission Tab'!$I$6:$I$40,AE4)</f>
        <v>6.4379626419395181E-2</v>
      </c>
      <c r="AF13" s="880">
        <f>SUMIFS('Emission Tab'!$K$6:$K$40,'Emission Tab'!$I$6:$I$40,AF4)</f>
        <v>6.4379626419395181E-2</v>
      </c>
      <c r="AG13" s="880">
        <f>SUMIFS('Emission Tab'!$K$6:$K$40,'Emission Tab'!$I$6:$I$40,AG4)</f>
        <v>6.4379626419395181E-2</v>
      </c>
      <c r="AH13" s="880">
        <f>SUMIFS('Emission Tab'!$K$6:$K$40,'Emission Tab'!$I$6:$I$40,AH4)</f>
        <v>6.4379626419395181E-2</v>
      </c>
      <c r="AI13" s="880">
        <f>SUMIFS('Emission Tab'!$K$6:$K$40,'Emission Tab'!$I$6:$I$40,AI4)</f>
        <v>6.4379626419395181E-2</v>
      </c>
      <c r="AJ13" s="880">
        <f>SUMIFS('Emission Tab'!$K$6:$K$40,'Emission Tab'!$I$6:$I$40,AJ4)</f>
        <v>6.4379626419395181E-2</v>
      </c>
      <c r="AK13" s="880">
        <f>SUMIFS('Emission Tab'!$K$6:$K$40,'Emission Tab'!$I$6:$I$40,AK4)</f>
        <v>6.4379626419395181E-2</v>
      </c>
      <c r="AL13" s="880">
        <f>SUMIFS('Emission Tab'!$K$6:$K$40,'Emission Tab'!$I$6:$I$40,AL4)</f>
        <v>6.4379626419395181E-2</v>
      </c>
      <c r="AM13" s="880">
        <f>SUMIFS('Emission Tab'!$K$6:$K$40,'Emission Tab'!$I$6:$I$40,AM4)</f>
        <v>6.4379626419395181E-2</v>
      </c>
      <c r="AN13" s="880">
        <f t="shared" ref="AN13:AN16" si="2">AM13</f>
        <v>6.4379626419395181E-2</v>
      </c>
    </row>
    <row r="14" spans="2:40" x14ac:dyDescent="0.25">
      <c r="B14" t="s">
        <v>817</v>
      </c>
      <c r="C14" s="2" t="s">
        <v>825</v>
      </c>
      <c r="D14" s="880"/>
      <c r="E14" s="880">
        <f>SUMIFS('Emission Tab'!$L$6:$L$40,'Emission Tab'!$I$6:$I$40,E4)</f>
        <v>0.2670554538970461</v>
      </c>
      <c r="F14" s="880">
        <f>SUMIFS('Emission Tab'!$L$6:$L$40,'Emission Tab'!$I$6:$I$40,F4)</f>
        <v>0.24127854890539283</v>
      </c>
      <c r="G14" s="880">
        <f>SUMIFS('Emission Tab'!$L$6:$L$40,'Emission Tab'!$I$6:$I$40,G4)</f>
        <v>0.21550164391373955</v>
      </c>
      <c r="H14" s="880">
        <f>SUMIFS('Emission Tab'!$L$6:$L$40,'Emission Tab'!$I$6:$I$40,H4)</f>
        <v>0.18972473892208627</v>
      </c>
      <c r="I14" s="880">
        <f>SUMIFS('Emission Tab'!$L$6:$L$40,'Emission Tab'!$I$6:$I$40,I4)</f>
        <v>0.163947833930433</v>
      </c>
      <c r="J14" s="880">
        <f>SUMIFS('Emission Tab'!$L$6:$L$40,'Emission Tab'!$I$6:$I$40,J4)</f>
        <v>0.13817092893877972</v>
      </c>
      <c r="K14" s="880">
        <f>SUMIFS('Emission Tab'!$L$6:$L$40,'Emission Tab'!$I$6:$I$40,K4)</f>
        <v>8.6617118955473207E-2</v>
      </c>
      <c r="L14" s="880">
        <f>SUMIFS('Emission Tab'!$L$6:$L$40,'Emission Tab'!$I$6:$I$40,L4)</f>
        <v>8.1595335956080622E-2</v>
      </c>
      <c r="M14" s="880">
        <f>SUMIFS('Emission Tab'!$L$6:$L$40,'Emission Tab'!$I$6:$I$40,M4)</f>
        <v>7.6573552956688037E-2</v>
      </c>
      <c r="N14" s="880">
        <f>SUMIFS('Emission Tab'!$L$6:$L$40,'Emission Tab'!$I$6:$I$40,N4)</f>
        <v>7.1551769957295452E-2</v>
      </c>
      <c r="O14" s="880">
        <f>SUMIFS('Emission Tab'!$L$6:$L$40,'Emission Tab'!$I$6:$I$40,O4)</f>
        <v>6.6529986957902867E-2</v>
      </c>
      <c r="P14" s="880">
        <f>SUMIFS('Emission Tab'!$L$6:$L$40,'Emission Tab'!$I$6:$I$40,P4)</f>
        <v>6.1508203958510282E-2</v>
      </c>
      <c r="Q14" s="880">
        <f>SUMIFS('Emission Tab'!$L$6:$L$40,'Emission Tab'!$I$6:$I$40,Q4)</f>
        <v>5.6486420959117697E-2</v>
      </c>
      <c r="R14" s="880">
        <f>SUMIFS('Emission Tab'!$L$6:$L$40,'Emission Tab'!$I$6:$I$40,R4)</f>
        <v>5.1464637959725112E-2</v>
      </c>
      <c r="S14" s="880">
        <f>SUMIFS('Emission Tab'!$L$6:$L$40,'Emission Tab'!$I$6:$I$40,S4)</f>
        <v>4.6442854960332527E-2</v>
      </c>
      <c r="T14" s="880">
        <f>SUMIFS('Emission Tab'!$L$6:$L$40,'Emission Tab'!$I$6:$I$40,T4)</f>
        <v>4.1421071960939942E-2</v>
      </c>
      <c r="U14" s="880">
        <f>SUMIFS('Emission Tab'!$L$6:$L$40,'Emission Tab'!$I$6:$I$40,U4)</f>
        <v>3.13775059621548E-2</v>
      </c>
      <c r="V14" s="880">
        <f>SUMIFS('Emission Tab'!$L$6:$L$40,'Emission Tab'!$I$6:$I$40,V4)</f>
        <v>3.1194970638766351E-2</v>
      </c>
      <c r="W14" s="880">
        <f>SUMIFS('Emission Tab'!$L$6:$L$40,'Emission Tab'!$I$6:$I$40,W4)</f>
        <v>3.1012435315377902E-2</v>
      </c>
      <c r="X14" s="880">
        <f>SUMIFS('Emission Tab'!$L$6:$L$40,'Emission Tab'!$I$6:$I$40,X4)</f>
        <v>3.0829899991989453E-2</v>
      </c>
      <c r="Y14" s="880">
        <f>SUMIFS('Emission Tab'!$L$6:$L$40,'Emission Tab'!$I$6:$I$40,Y4)</f>
        <v>3.0647364668601004E-2</v>
      </c>
      <c r="Z14" s="880">
        <f>SUMIFS('Emission Tab'!$L$6:$L$40,'Emission Tab'!$I$6:$I$40,Z4)</f>
        <v>3.0464829345212555E-2</v>
      </c>
      <c r="AA14" s="880">
        <f>SUMIFS('Emission Tab'!$L$6:$L$40,'Emission Tab'!$I$6:$I$40,AA4)</f>
        <v>3.0282294021824106E-2</v>
      </c>
      <c r="AB14" s="880">
        <f>SUMIFS('Emission Tab'!$L$6:$L$40,'Emission Tab'!$I$6:$I$40,AB4)</f>
        <v>3.0099758698435657E-2</v>
      </c>
      <c r="AC14" s="880">
        <f>SUMIFS('Emission Tab'!$L$6:$L$40,'Emission Tab'!$I$6:$I$40,AC4)</f>
        <v>2.9917223375047208E-2</v>
      </c>
      <c r="AD14" s="880">
        <f>SUMIFS('Emission Tab'!$L$6:$L$40,'Emission Tab'!$I$6:$I$40,AD4)</f>
        <v>2.9734688051658759E-2</v>
      </c>
      <c r="AE14" s="880">
        <f>SUMIFS('Emission Tab'!$L$6:$L$40,'Emission Tab'!$I$6:$I$40,AE4)</f>
        <v>2.9369617404881844E-2</v>
      </c>
      <c r="AF14" s="880">
        <f>SUMIFS('Emission Tab'!$L$6:$L$40,'Emission Tab'!$I$6:$I$40,AF4)</f>
        <v>2.9369617404881844E-2</v>
      </c>
      <c r="AG14" s="880">
        <f>SUMIFS('Emission Tab'!$L$6:$L$40,'Emission Tab'!$I$6:$I$40,AG4)</f>
        <v>2.9369617404881844E-2</v>
      </c>
      <c r="AH14" s="880">
        <f>SUMIFS('Emission Tab'!$L$6:$L$40,'Emission Tab'!$I$6:$I$40,AH4)</f>
        <v>2.9369617404881844E-2</v>
      </c>
      <c r="AI14" s="880">
        <f>SUMIFS('Emission Tab'!$L$6:$L$40,'Emission Tab'!$I$6:$I$40,AI4)</f>
        <v>2.9369617404881844E-2</v>
      </c>
      <c r="AJ14" s="880">
        <f>SUMIFS('Emission Tab'!$L$6:$L$40,'Emission Tab'!$I$6:$I$40,AJ4)</f>
        <v>2.9369617404881844E-2</v>
      </c>
      <c r="AK14" s="880">
        <f>SUMIFS('Emission Tab'!$L$6:$L$40,'Emission Tab'!$I$6:$I$40,AK4)</f>
        <v>2.9369617404881844E-2</v>
      </c>
      <c r="AL14" s="880">
        <f>SUMIFS('Emission Tab'!$L$6:$L$40,'Emission Tab'!$I$6:$I$40,AL4)</f>
        <v>2.9369617404881844E-2</v>
      </c>
      <c r="AM14" s="880">
        <f>SUMIFS('Emission Tab'!$L$6:$L$40,'Emission Tab'!$I$6:$I$40,AM4)</f>
        <v>2.9369617404881844E-2</v>
      </c>
      <c r="AN14" s="880">
        <f t="shared" si="2"/>
        <v>2.9369617404881844E-2</v>
      </c>
    </row>
    <row r="15" spans="2:40" x14ac:dyDescent="0.25">
      <c r="B15" t="s">
        <v>818</v>
      </c>
      <c r="C15" s="2" t="s">
        <v>825</v>
      </c>
      <c r="D15" s="880"/>
      <c r="E15" s="880">
        <f>SUMIFS('Emission Tab'!$M$6:$M$40,'Emission Tab'!$I$6:$I$40,E4)</f>
        <v>1.4374717269674826E-2</v>
      </c>
      <c r="F15" s="880">
        <f>SUMIFS('Emission Tab'!$M$6:$M$40,'Emission Tab'!$I$6:$I$40,F4)</f>
        <v>1.4264060533605471E-2</v>
      </c>
      <c r="G15" s="880">
        <f>SUMIFS('Emission Tab'!$M$6:$M$40,'Emission Tab'!$I$6:$I$40,G4)</f>
        <v>1.4153403797536115E-2</v>
      </c>
      <c r="H15" s="880">
        <f>SUMIFS('Emission Tab'!$M$6:$M$40,'Emission Tab'!$I$6:$I$40,H4)</f>
        <v>1.404274706146676E-2</v>
      </c>
      <c r="I15" s="880">
        <f>SUMIFS('Emission Tab'!$M$6:$M$40,'Emission Tab'!$I$6:$I$40,I4)</f>
        <v>1.3932090325397405E-2</v>
      </c>
      <c r="J15" s="880">
        <f>SUMIFS('Emission Tab'!$M$6:$M$40,'Emission Tab'!$I$6:$I$40,J4)</f>
        <v>1.3821433589328049E-2</v>
      </c>
      <c r="K15" s="880">
        <f>SUMIFS('Emission Tab'!$M$6:$M$40,'Emission Tab'!$I$6:$I$40,K4)</f>
        <v>1.360012011718933E-2</v>
      </c>
      <c r="L15" s="880">
        <f>SUMIFS('Emission Tab'!$M$6:$M$40,'Emission Tab'!$I$6:$I$40,L4)</f>
        <v>1.357006216262972E-2</v>
      </c>
      <c r="M15" s="880">
        <f>SUMIFS('Emission Tab'!$M$6:$M$40,'Emission Tab'!$I$6:$I$40,M4)</f>
        <v>1.3540004208070109E-2</v>
      </c>
      <c r="N15" s="880">
        <f>SUMIFS('Emission Tab'!$M$6:$M$40,'Emission Tab'!$I$6:$I$40,N4)</f>
        <v>1.3509946253510499E-2</v>
      </c>
      <c r="O15" s="880">
        <f>SUMIFS('Emission Tab'!$M$6:$M$40,'Emission Tab'!$I$6:$I$40,O4)</f>
        <v>1.3479888298950889E-2</v>
      </c>
      <c r="P15" s="880">
        <f>SUMIFS('Emission Tab'!$M$6:$M$40,'Emission Tab'!$I$6:$I$40,P4)</f>
        <v>1.3449830344391279E-2</v>
      </c>
      <c r="Q15" s="880">
        <f>SUMIFS('Emission Tab'!$M$6:$M$40,'Emission Tab'!$I$6:$I$40,Q4)</f>
        <v>1.3419772389831669E-2</v>
      </c>
      <c r="R15" s="880">
        <f>SUMIFS('Emission Tab'!$M$6:$M$40,'Emission Tab'!$I$6:$I$40,R4)</f>
        <v>1.3389714435272058E-2</v>
      </c>
      <c r="S15" s="880">
        <f>SUMIFS('Emission Tab'!$M$6:$M$40,'Emission Tab'!$I$6:$I$40,S4)</f>
        <v>1.3359656480712448E-2</v>
      </c>
      <c r="T15" s="880">
        <f>SUMIFS('Emission Tab'!$M$6:$M$40,'Emission Tab'!$I$6:$I$40,T4)</f>
        <v>1.3329598526152838E-2</v>
      </c>
      <c r="U15" s="880">
        <f>SUMIFS('Emission Tab'!$M$6:$M$40,'Emission Tab'!$I$6:$I$40,U4)</f>
        <v>1.3269482617033621E-2</v>
      </c>
      <c r="V15" s="880">
        <f>SUMIFS('Emission Tab'!$M$6:$M$40,'Emission Tab'!$I$6:$I$40,V4)</f>
        <v>1.3266231748275436E-2</v>
      </c>
      <c r="W15" s="880">
        <f>SUMIFS('Emission Tab'!$M$6:$M$40,'Emission Tab'!$I$6:$I$40,W4)</f>
        <v>1.3262980879517251E-2</v>
      </c>
      <c r="X15" s="880">
        <f>SUMIFS('Emission Tab'!$M$6:$M$40,'Emission Tab'!$I$6:$I$40,X4)</f>
        <v>1.3259730010759066E-2</v>
      </c>
      <c r="Y15" s="880">
        <f>SUMIFS('Emission Tab'!$M$6:$M$40,'Emission Tab'!$I$6:$I$40,Y4)</f>
        <v>1.3256479142000881E-2</v>
      </c>
      <c r="Z15" s="880">
        <f>SUMIFS('Emission Tab'!$M$6:$M$40,'Emission Tab'!$I$6:$I$40,Z4)</f>
        <v>1.3253228273242696E-2</v>
      </c>
      <c r="AA15" s="880">
        <f>SUMIFS('Emission Tab'!$M$6:$M$40,'Emission Tab'!$I$6:$I$40,AA4)</f>
        <v>1.3249977404484511E-2</v>
      </c>
      <c r="AB15" s="880">
        <f>SUMIFS('Emission Tab'!$M$6:$M$40,'Emission Tab'!$I$6:$I$40,AB4)</f>
        <v>1.3246726535726326E-2</v>
      </c>
      <c r="AC15" s="880">
        <f>SUMIFS('Emission Tab'!$M$6:$M$40,'Emission Tab'!$I$6:$I$40,AC4)</f>
        <v>1.3243475666968142E-2</v>
      </c>
      <c r="AD15" s="880">
        <f>SUMIFS('Emission Tab'!$M$6:$M$40,'Emission Tab'!$I$6:$I$40,AD4)</f>
        <v>1.3240224798209957E-2</v>
      </c>
      <c r="AE15" s="880">
        <f>SUMIFS('Emission Tab'!$M$6:$M$40,'Emission Tab'!$I$6:$I$40,AE4)</f>
        <v>1.3233723060693585E-2</v>
      </c>
      <c r="AF15" s="880">
        <f>SUMIFS('Emission Tab'!$M$6:$M$40,'Emission Tab'!$I$6:$I$40,AF4)</f>
        <v>1.3233723060693585E-2</v>
      </c>
      <c r="AG15" s="880">
        <f>SUMIFS('Emission Tab'!$M$6:$M$40,'Emission Tab'!$I$6:$I$40,AG4)</f>
        <v>1.3233723060693585E-2</v>
      </c>
      <c r="AH15" s="880">
        <f>SUMIFS('Emission Tab'!$M$6:$M$40,'Emission Tab'!$I$6:$I$40,AH4)</f>
        <v>1.3233723060693585E-2</v>
      </c>
      <c r="AI15" s="880">
        <f>SUMIFS('Emission Tab'!$M$6:$M$40,'Emission Tab'!$I$6:$I$40,AI4)</f>
        <v>1.3233723060693585E-2</v>
      </c>
      <c r="AJ15" s="880">
        <f>SUMIFS('Emission Tab'!$M$6:$M$40,'Emission Tab'!$I$6:$I$40,AJ4)</f>
        <v>1.3233723060693585E-2</v>
      </c>
      <c r="AK15" s="880">
        <f>SUMIFS('Emission Tab'!$M$6:$M$40,'Emission Tab'!$I$6:$I$40,AK4)</f>
        <v>1.3233723060693585E-2</v>
      </c>
      <c r="AL15" s="880">
        <f>SUMIFS('Emission Tab'!$M$6:$M$40,'Emission Tab'!$I$6:$I$40,AL4)</f>
        <v>1.3233723060693585E-2</v>
      </c>
      <c r="AM15" s="880">
        <f>SUMIFS('Emission Tab'!$M$6:$M$40,'Emission Tab'!$I$6:$I$40,AM4)</f>
        <v>1.3233723060693585E-2</v>
      </c>
      <c r="AN15" s="880">
        <f t="shared" si="2"/>
        <v>1.3233723060693585E-2</v>
      </c>
    </row>
    <row r="16" spans="2:40" x14ac:dyDescent="0.25">
      <c r="B16" t="s">
        <v>819</v>
      </c>
      <c r="C16" s="2" t="s">
        <v>825</v>
      </c>
      <c r="D16" s="896"/>
      <c r="E16" s="896">
        <f>SUMIFS('Emission Tab'!$N$6:$N$40,'Emission Tab'!$I$6:$I$40,E4)</f>
        <v>1692.2151500701871</v>
      </c>
      <c r="F16" s="896">
        <f>SUMIFS('Emission Tab'!$N$6:$N$40,'Emission Tab'!$I$6:$I$40,F4)</f>
        <v>1682.3369613647424</v>
      </c>
      <c r="G16" s="896">
        <f>SUMIFS('Emission Tab'!$N$6:$N$40,'Emission Tab'!$I$6:$I$40,G4)</f>
        <v>1672.4587726592977</v>
      </c>
      <c r="H16" s="896">
        <f>SUMIFS('Emission Tab'!$N$6:$N$40,'Emission Tab'!$I$6:$I$40,H4)</f>
        <v>1662.580583953853</v>
      </c>
      <c r="I16" s="896">
        <f>SUMIFS('Emission Tab'!$N$6:$N$40,'Emission Tab'!$I$6:$I$40,I4)</f>
        <v>1652.7023952484083</v>
      </c>
      <c r="J16" s="896">
        <f>SUMIFS('Emission Tab'!$N$6:$N$40,'Emission Tab'!$I$6:$I$40,J4)</f>
        <v>1642.8242065429636</v>
      </c>
      <c r="K16" s="896">
        <f>SUMIFS('Emission Tab'!$N$6:$N$40,'Emission Tab'!$I$6:$I$40,K4)</f>
        <v>1623.0678291320751</v>
      </c>
      <c r="L16" s="896">
        <f>SUMIFS('Emission Tab'!$N$6:$N$40,'Emission Tab'!$I$6:$I$40,L4)</f>
        <v>1620.1800159107506</v>
      </c>
      <c r="M16" s="896">
        <f>SUMIFS('Emission Tab'!$N$6:$N$40,'Emission Tab'!$I$6:$I$40,M4)</f>
        <v>1617.2922026894262</v>
      </c>
      <c r="N16" s="896">
        <f>SUMIFS('Emission Tab'!$N$6:$N$40,'Emission Tab'!$I$6:$I$40,N4)</f>
        <v>1614.4043894681017</v>
      </c>
      <c r="O16" s="896">
        <f>SUMIFS('Emission Tab'!$N$6:$N$40,'Emission Tab'!$I$6:$I$40,O4)</f>
        <v>1611.5165762467773</v>
      </c>
      <c r="P16" s="896">
        <f>SUMIFS('Emission Tab'!$N$6:$N$40,'Emission Tab'!$I$6:$I$40,P4)</f>
        <v>1608.6287630254528</v>
      </c>
      <c r="Q16" s="896">
        <f>SUMIFS('Emission Tab'!$N$6:$N$40,'Emission Tab'!$I$6:$I$40,Q4)</f>
        <v>1605.7409498041284</v>
      </c>
      <c r="R16" s="896">
        <f>SUMIFS('Emission Tab'!$N$6:$N$40,'Emission Tab'!$I$6:$I$40,R4)</f>
        <v>1602.8531365828039</v>
      </c>
      <c r="S16" s="896">
        <f>SUMIFS('Emission Tab'!$N$6:$N$40,'Emission Tab'!$I$6:$I$40,S4)</f>
        <v>1599.9653233614795</v>
      </c>
      <c r="T16" s="896">
        <f>SUMIFS('Emission Tab'!$N$6:$N$40,'Emission Tab'!$I$6:$I$40,T4)</f>
        <v>1597.077510140155</v>
      </c>
      <c r="U16" s="896">
        <f>SUMIFS('Emission Tab'!$N$6:$N$40,'Emission Tab'!$I$6:$I$40,U4)</f>
        <v>1591.3018836975068</v>
      </c>
      <c r="V16" s="896">
        <f>SUMIFS('Emission Tab'!$N$6:$N$40,'Emission Tab'!$I$6:$I$40,V4)</f>
        <v>1590.9403218356017</v>
      </c>
      <c r="W16" s="896">
        <f>SUMIFS('Emission Tab'!$N$6:$N$40,'Emission Tab'!$I$6:$I$40,W4)</f>
        <v>1590.5787599736966</v>
      </c>
      <c r="X16" s="896">
        <f>SUMIFS('Emission Tab'!$N$6:$N$40,'Emission Tab'!$I$6:$I$40,X4)</f>
        <v>1590.2171981117915</v>
      </c>
      <c r="Y16" s="896">
        <f>SUMIFS('Emission Tab'!$N$6:$N$40,'Emission Tab'!$I$6:$I$40,Y4)</f>
        <v>1589.8556362498864</v>
      </c>
      <c r="Z16" s="896">
        <f>SUMIFS('Emission Tab'!$N$6:$N$40,'Emission Tab'!$I$6:$I$40,Z4)</f>
        <v>1589.4940743879813</v>
      </c>
      <c r="AA16" s="896">
        <f>SUMIFS('Emission Tab'!$N$6:$N$40,'Emission Tab'!$I$6:$I$40,AA4)</f>
        <v>1589.1325125260762</v>
      </c>
      <c r="AB16" s="896">
        <f>SUMIFS('Emission Tab'!$N$6:$N$40,'Emission Tab'!$I$6:$I$40,AB4)</f>
        <v>1588.7709506641711</v>
      </c>
      <c r="AC16" s="896">
        <f>SUMIFS('Emission Tab'!$N$6:$N$40,'Emission Tab'!$I$6:$I$40,AC4)</f>
        <v>1588.409388802266</v>
      </c>
      <c r="AD16" s="896">
        <f>SUMIFS('Emission Tab'!$N$6:$N$40,'Emission Tab'!$I$6:$I$40,AD4)</f>
        <v>1588.0478269403609</v>
      </c>
      <c r="AE16" s="896">
        <f>SUMIFS('Emission Tab'!$N$6:$N$40,'Emission Tab'!$I$6:$I$40,AE4)</f>
        <v>1587.32470321655</v>
      </c>
      <c r="AF16" s="896">
        <f>SUMIFS('Emission Tab'!$N$6:$N$40,'Emission Tab'!$I$6:$I$40,AF4)</f>
        <v>1587.32470321655</v>
      </c>
      <c r="AG16" s="896">
        <f>SUMIFS('Emission Tab'!$N$6:$N$40,'Emission Tab'!$I$6:$I$40,AG4)</f>
        <v>1587.32470321655</v>
      </c>
      <c r="AH16" s="896">
        <f>SUMIFS('Emission Tab'!$N$6:$N$40,'Emission Tab'!$I$6:$I$40,AH4)</f>
        <v>1587.32470321655</v>
      </c>
      <c r="AI16" s="896">
        <f>SUMIFS('Emission Tab'!$N$6:$N$40,'Emission Tab'!$I$6:$I$40,AI4)</f>
        <v>1587.32470321655</v>
      </c>
      <c r="AJ16" s="896">
        <f>SUMIFS('Emission Tab'!$N$6:$N$40,'Emission Tab'!$I$6:$I$40,AJ4)</f>
        <v>1587.32470321655</v>
      </c>
      <c r="AK16" s="896">
        <f>SUMIFS('Emission Tab'!$N$6:$N$40,'Emission Tab'!$I$6:$I$40,AK4)</f>
        <v>1587.32470321655</v>
      </c>
      <c r="AL16" s="896">
        <f>SUMIFS('Emission Tab'!$N$6:$N$40,'Emission Tab'!$I$6:$I$40,AL4)</f>
        <v>1587.32470321655</v>
      </c>
      <c r="AM16" s="896">
        <f>SUMIFS('Emission Tab'!$N$6:$N$40,'Emission Tab'!$I$6:$I$40,AM4)</f>
        <v>1587.32470321655</v>
      </c>
      <c r="AN16" s="896">
        <f t="shared" si="2"/>
        <v>1587.32470321655</v>
      </c>
    </row>
    <row r="18" spans="2:40" x14ac:dyDescent="0.25">
      <c r="B18" s="1" t="s">
        <v>820</v>
      </c>
      <c r="C18" s="2" t="s">
        <v>768</v>
      </c>
      <c r="D18" s="897"/>
      <c r="E18" s="897">
        <f>'Emission Tab'!$Q$47</f>
        <v>8300</v>
      </c>
      <c r="F18" s="897">
        <f>E18</f>
        <v>8300</v>
      </c>
      <c r="G18" s="897">
        <f t="shared" ref="G18:AN21" si="3">F18</f>
        <v>8300</v>
      </c>
      <c r="H18" s="897">
        <f t="shared" si="3"/>
        <v>8300</v>
      </c>
      <c r="I18" s="897">
        <f t="shared" si="3"/>
        <v>8300</v>
      </c>
      <c r="J18" s="897">
        <f t="shared" si="3"/>
        <v>8300</v>
      </c>
      <c r="K18" s="897">
        <f t="shared" si="3"/>
        <v>8300</v>
      </c>
      <c r="L18" s="897">
        <f t="shared" si="3"/>
        <v>8300</v>
      </c>
      <c r="M18" s="897">
        <f t="shared" si="3"/>
        <v>8300</v>
      </c>
      <c r="N18" s="897">
        <f t="shared" si="3"/>
        <v>8300</v>
      </c>
      <c r="O18" s="897">
        <f t="shared" si="3"/>
        <v>8300</v>
      </c>
      <c r="P18" s="897">
        <f t="shared" si="3"/>
        <v>8300</v>
      </c>
      <c r="Q18" s="897">
        <f t="shared" si="3"/>
        <v>8300</v>
      </c>
      <c r="R18" s="897">
        <f t="shared" si="3"/>
        <v>8300</v>
      </c>
      <c r="S18" s="897">
        <f t="shared" si="3"/>
        <v>8300</v>
      </c>
      <c r="T18" s="897">
        <f t="shared" si="3"/>
        <v>8300</v>
      </c>
      <c r="U18" s="897">
        <f t="shared" si="3"/>
        <v>8300</v>
      </c>
      <c r="V18" s="897">
        <f t="shared" si="3"/>
        <v>8300</v>
      </c>
      <c r="W18" s="897">
        <f t="shared" si="3"/>
        <v>8300</v>
      </c>
      <c r="X18" s="897">
        <f t="shared" si="3"/>
        <v>8300</v>
      </c>
      <c r="Y18" s="897">
        <f t="shared" si="3"/>
        <v>8300</v>
      </c>
      <c r="Z18" s="897">
        <f t="shared" si="3"/>
        <v>8300</v>
      </c>
      <c r="AA18" s="897">
        <f t="shared" si="3"/>
        <v>8300</v>
      </c>
      <c r="AB18" s="897">
        <f t="shared" si="3"/>
        <v>8300</v>
      </c>
      <c r="AC18" s="897">
        <f t="shared" si="3"/>
        <v>8300</v>
      </c>
      <c r="AD18" s="897">
        <f t="shared" si="3"/>
        <v>8300</v>
      </c>
      <c r="AE18" s="897">
        <f t="shared" si="3"/>
        <v>8300</v>
      </c>
      <c r="AF18" s="897">
        <f t="shared" si="3"/>
        <v>8300</v>
      </c>
      <c r="AG18" s="897">
        <f t="shared" si="3"/>
        <v>8300</v>
      </c>
      <c r="AH18" s="897">
        <f t="shared" si="3"/>
        <v>8300</v>
      </c>
      <c r="AI18" s="897">
        <f t="shared" si="3"/>
        <v>8300</v>
      </c>
      <c r="AJ18" s="897">
        <f t="shared" si="3"/>
        <v>8300</v>
      </c>
      <c r="AK18" s="897">
        <f t="shared" si="3"/>
        <v>8300</v>
      </c>
      <c r="AL18" s="897">
        <f t="shared" si="3"/>
        <v>8300</v>
      </c>
      <c r="AM18" s="897">
        <f t="shared" si="3"/>
        <v>8300</v>
      </c>
      <c r="AN18" s="897">
        <f t="shared" si="3"/>
        <v>8300</v>
      </c>
    </row>
    <row r="19" spans="2:40" x14ac:dyDescent="0.25">
      <c r="B19" s="1" t="s">
        <v>821</v>
      </c>
      <c r="C19" s="2" t="s">
        <v>768</v>
      </c>
      <c r="D19" s="897"/>
      <c r="E19" s="897">
        <f>'Emission Tab'!$Q$48</f>
        <v>2000</v>
      </c>
      <c r="F19" s="897">
        <f t="shared" ref="F19:U21" si="4">E19</f>
        <v>2000</v>
      </c>
      <c r="G19" s="897">
        <f t="shared" si="4"/>
        <v>2000</v>
      </c>
      <c r="H19" s="897">
        <f t="shared" si="4"/>
        <v>2000</v>
      </c>
      <c r="I19" s="897">
        <f t="shared" si="4"/>
        <v>2000</v>
      </c>
      <c r="J19" s="897">
        <f t="shared" si="4"/>
        <v>2000</v>
      </c>
      <c r="K19" s="897">
        <f t="shared" si="4"/>
        <v>2000</v>
      </c>
      <c r="L19" s="897">
        <f t="shared" si="4"/>
        <v>2000</v>
      </c>
      <c r="M19" s="897">
        <f t="shared" si="4"/>
        <v>2000</v>
      </c>
      <c r="N19" s="897">
        <f t="shared" si="4"/>
        <v>2000</v>
      </c>
      <c r="O19" s="897">
        <f t="shared" si="4"/>
        <v>2000</v>
      </c>
      <c r="P19" s="897">
        <f t="shared" si="4"/>
        <v>2000</v>
      </c>
      <c r="Q19" s="897">
        <f t="shared" si="4"/>
        <v>2000</v>
      </c>
      <c r="R19" s="897">
        <f t="shared" si="4"/>
        <v>2000</v>
      </c>
      <c r="S19" s="897">
        <f t="shared" si="4"/>
        <v>2000</v>
      </c>
      <c r="T19" s="897">
        <f t="shared" si="4"/>
        <v>2000</v>
      </c>
      <c r="U19" s="897">
        <f t="shared" si="4"/>
        <v>2000</v>
      </c>
      <c r="V19" s="897">
        <f t="shared" si="3"/>
        <v>2000</v>
      </c>
      <c r="W19" s="897">
        <f t="shared" si="3"/>
        <v>2000</v>
      </c>
      <c r="X19" s="897">
        <f t="shared" si="3"/>
        <v>2000</v>
      </c>
      <c r="Y19" s="897">
        <f t="shared" si="3"/>
        <v>2000</v>
      </c>
      <c r="Z19" s="897">
        <f t="shared" si="3"/>
        <v>2000</v>
      </c>
      <c r="AA19" s="897">
        <f t="shared" si="3"/>
        <v>2000</v>
      </c>
      <c r="AB19" s="897">
        <f t="shared" si="3"/>
        <v>2000</v>
      </c>
      <c r="AC19" s="897">
        <f t="shared" si="3"/>
        <v>2000</v>
      </c>
      <c r="AD19" s="897">
        <f t="shared" si="3"/>
        <v>2000</v>
      </c>
      <c r="AE19" s="897">
        <f t="shared" si="3"/>
        <v>2000</v>
      </c>
      <c r="AF19" s="897">
        <f t="shared" si="3"/>
        <v>2000</v>
      </c>
      <c r="AG19" s="897">
        <f t="shared" si="3"/>
        <v>2000</v>
      </c>
      <c r="AH19" s="897">
        <f t="shared" si="3"/>
        <v>2000</v>
      </c>
      <c r="AI19" s="897">
        <f t="shared" si="3"/>
        <v>2000</v>
      </c>
      <c r="AJ19" s="897">
        <f t="shared" si="3"/>
        <v>2000</v>
      </c>
      <c r="AK19" s="897">
        <f t="shared" si="3"/>
        <v>2000</v>
      </c>
      <c r="AL19" s="897">
        <f t="shared" si="3"/>
        <v>2000</v>
      </c>
      <c r="AM19" s="897">
        <f t="shared" si="3"/>
        <v>2000</v>
      </c>
      <c r="AN19" s="897">
        <f t="shared" si="3"/>
        <v>2000</v>
      </c>
    </row>
    <row r="20" spans="2:40" x14ac:dyDescent="0.25">
      <c r="B20" s="1" t="s">
        <v>822</v>
      </c>
      <c r="C20" s="2" t="s">
        <v>768</v>
      </c>
      <c r="D20" s="897"/>
      <c r="E20" s="897">
        <f>'Emission Tab'!$Q$49</f>
        <v>377800</v>
      </c>
      <c r="F20" s="897">
        <f t="shared" si="4"/>
        <v>377800</v>
      </c>
      <c r="G20" s="897">
        <f t="shared" si="3"/>
        <v>377800</v>
      </c>
      <c r="H20" s="897">
        <f t="shared" si="3"/>
        <v>377800</v>
      </c>
      <c r="I20" s="897">
        <f t="shared" si="3"/>
        <v>377800</v>
      </c>
      <c r="J20" s="897">
        <f t="shared" si="3"/>
        <v>377800</v>
      </c>
      <c r="K20" s="897">
        <f t="shared" si="3"/>
        <v>377800</v>
      </c>
      <c r="L20" s="897">
        <f t="shared" si="3"/>
        <v>377800</v>
      </c>
      <c r="M20" s="897">
        <f t="shared" si="3"/>
        <v>377800</v>
      </c>
      <c r="N20" s="897">
        <f t="shared" si="3"/>
        <v>377800</v>
      </c>
      <c r="O20" s="897">
        <f t="shared" si="3"/>
        <v>377800</v>
      </c>
      <c r="P20" s="897">
        <f t="shared" si="3"/>
        <v>377800</v>
      </c>
      <c r="Q20" s="897">
        <f t="shared" si="3"/>
        <v>377800</v>
      </c>
      <c r="R20" s="897">
        <f t="shared" si="3"/>
        <v>377800</v>
      </c>
      <c r="S20" s="897">
        <f t="shared" si="3"/>
        <v>377800</v>
      </c>
      <c r="T20" s="897">
        <f t="shared" si="3"/>
        <v>377800</v>
      </c>
      <c r="U20" s="897">
        <f t="shared" si="3"/>
        <v>377800</v>
      </c>
      <c r="V20" s="897">
        <f t="shared" si="3"/>
        <v>377800</v>
      </c>
      <c r="W20" s="897">
        <f t="shared" si="3"/>
        <v>377800</v>
      </c>
      <c r="X20" s="897">
        <f t="shared" si="3"/>
        <v>377800</v>
      </c>
      <c r="Y20" s="897">
        <f t="shared" si="3"/>
        <v>377800</v>
      </c>
      <c r="Z20" s="897">
        <f t="shared" si="3"/>
        <v>377800</v>
      </c>
      <c r="AA20" s="897">
        <f t="shared" si="3"/>
        <v>377800</v>
      </c>
      <c r="AB20" s="897">
        <f t="shared" si="3"/>
        <v>377800</v>
      </c>
      <c r="AC20" s="897">
        <f t="shared" si="3"/>
        <v>377800</v>
      </c>
      <c r="AD20" s="897">
        <f t="shared" si="3"/>
        <v>377800</v>
      </c>
      <c r="AE20" s="897">
        <f t="shared" si="3"/>
        <v>377800</v>
      </c>
      <c r="AF20" s="897">
        <f t="shared" si="3"/>
        <v>377800</v>
      </c>
      <c r="AG20" s="897">
        <f t="shared" si="3"/>
        <v>377800</v>
      </c>
      <c r="AH20" s="897">
        <f t="shared" si="3"/>
        <v>377800</v>
      </c>
      <c r="AI20" s="897">
        <f t="shared" si="3"/>
        <v>377800</v>
      </c>
      <c r="AJ20" s="897">
        <f t="shared" si="3"/>
        <v>377800</v>
      </c>
      <c r="AK20" s="897">
        <f t="shared" si="3"/>
        <v>377800</v>
      </c>
      <c r="AL20" s="897">
        <f t="shared" si="3"/>
        <v>377800</v>
      </c>
      <c r="AM20" s="897">
        <f t="shared" si="3"/>
        <v>377800</v>
      </c>
      <c r="AN20" s="897">
        <f t="shared" si="3"/>
        <v>377800</v>
      </c>
    </row>
    <row r="21" spans="2:40" x14ac:dyDescent="0.25">
      <c r="B21" s="1" t="s">
        <v>823</v>
      </c>
      <c r="C21" s="2" t="s">
        <v>768</v>
      </c>
      <c r="D21" s="897"/>
      <c r="E21" s="897">
        <f>'Emission Tab'!$Q$50</f>
        <v>48900</v>
      </c>
      <c r="F21" s="897">
        <f t="shared" si="4"/>
        <v>48900</v>
      </c>
      <c r="G21" s="897">
        <f t="shared" si="3"/>
        <v>48900</v>
      </c>
      <c r="H21" s="897">
        <f t="shared" si="3"/>
        <v>48900</v>
      </c>
      <c r="I21" s="897">
        <f t="shared" si="3"/>
        <v>48900</v>
      </c>
      <c r="J21" s="897">
        <f t="shared" si="3"/>
        <v>48900</v>
      </c>
      <c r="K21" s="897">
        <f t="shared" si="3"/>
        <v>48900</v>
      </c>
      <c r="L21" s="897">
        <f t="shared" si="3"/>
        <v>48900</v>
      </c>
      <c r="M21" s="897">
        <f t="shared" si="3"/>
        <v>48900</v>
      </c>
      <c r="N21" s="897">
        <f t="shared" si="3"/>
        <v>48900</v>
      </c>
      <c r="O21" s="897">
        <f t="shared" si="3"/>
        <v>48900</v>
      </c>
      <c r="P21" s="897">
        <f t="shared" si="3"/>
        <v>48900</v>
      </c>
      <c r="Q21" s="897">
        <f t="shared" si="3"/>
        <v>48900</v>
      </c>
      <c r="R21" s="897">
        <f t="shared" si="3"/>
        <v>48900</v>
      </c>
      <c r="S21" s="897">
        <f t="shared" si="3"/>
        <v>48900</v>
      </c>
      <c r="T21" s="897">
        <f t="shared" si="3"/>
        <v>48900</v>
      </c>
      <c r="U21" s="897">
        <f t="shared" si="3"/>
        <v>48900</v>
      </c>
      <c r="V21" s="897">
        <f t="shared" si="3"/>
        <v>48900</v>
      </c>
      <c r="W21" s="897">
        <f t="shared" si="3"/>
        <v>48900</v>
      </c>
      <c r="X21" s="897">
        <f t="shared" si="3"/>
        <v>48900</v>
      </c>
      <c r="Y21" s="897">
        <f t="shared" si="3"/>
        <v>48900</v>
      </c>
      <c r="Z21" s="897">
        <f t="shared" si="3"/>
        <v>48900</v>
      </c>
      <c r="AA21" s="897">
        <f t="shared" si="3"/>
        <v>48900</v>
      </c>
      <c r="AB21" s="897">
        <f t="shared" si="3"/>
        <v>48900</v>
      </c>
      <c r="AC21" s="897">
        <f t="shared" si="3"/>
        <v>48900</v>
      </c>
      <c r="AD21" s="897">
        <f t="shared" si="3"/>
        <v>48900</v>
      </c>
      <c r="AE21" s="897">
        <f t="shared" si="3"/>
        <v>48900</v>
      </c>
      <c r="AF21" s="897">
        <f t="shared" si="3"/>
        <v>48900</v>
      </c>
      <c r="AG21" s="897">
        <f t="shared" si="3"/>
        <v>48900</v>
      </c>
      <c r="AH21" s="897">
        <f t="shared" si="3"/>
        <v>48900</v>
      </c>
      <c r="AI21" s="897">
        <f t="shared" si="3"/>
        <v>48900</v>
      </c>
      <c r="AJ21" s="897">
        <f t="shared" si="3"/>
        <v>48900</v>
      </c>
      <c r="AK21" s="897">
        <f t="shared" si="3"/>
        <v>48900</v>
      </c>
      <c r="AL21" s="897">
        <f t="shared" si="3"/>
        <v>48900</v>
      </c>
      <c r="AM21" s="897">
        <f t="shared" si="3"/>
        <v>48900</v>
      </c>
      <c r="AN21" s="897">
        <f t="shared" si="3"/>
        <v>48900</v>
      </c>
    </row>
    <row r="22" spans="2:40" x14ac:dyDescent="0.25">
      <c r="B22" t="s">
        <v>824</v>
      </c>
      <c r="C22" s="2" t="s">
        <v>768</v>
      </c>
      <c r="D22" s="898"/>
      <c r="E22" s="898">
        <f>SUMIFS('Emission Tab'!$Q$6:$Q$40,'Emission Tab'!$P$6:$P$40,E4)</f>
        <v>0.90718469999999996</v>
      </c>
      <c r="F22" s="898">
        <f>SUMIFS('Emission Tab'!$Q$6:$Q$40,'Emission Tab'!$P$6:$P$40,F4)</f>
        <v>0.90718469999999996</v>
      </c>
      <c r="G22" s="898">
        <f>SUMIFS('Emission Tab'!$Q$6:$Q$40,'Emission Tab'!$P$6:$P$40,G4)</f>
        <v>0.90718469999999996</v>
      </c>
      <c r="H22" s="898">
        <f>SUMIFS('Emission Tab'!$Q$6:$Q$40,'Emission Tab'!$P$6:$P$40,H4)</f>
        <v>0.90718469999999996</v>
      </c>
      <c r="I22" s="898">
        <f>SUMIFS('Emission Tab'!$Q$6:$Q$40,'Emission Tab'!$P$6:$P$40,I4)</f>
        <v>0.90718469999999996</v>
      </c>
      <c r="J22" s="898">
        <f>SUMIFS('Emission Tab'!$Q$6:$Q$40,'Emission Tab'!$P$6:$P$40,J4)</f>
        <v>0.90718469999999996</v>
      </c>
      <c r="K22" s="898">
        <f>SUMIFS('Emission Tab'!$Q$6:$Q$40,'Emission Tab'!$P$6:$P$40,K4)</f>
        <v>0.90718469999999996</v>
      </c>
      <c r="L22" s="898">
        <f>SUMIFS('Emission Tab'!$Q$6:$Q$40,'Emission Tab'!$P$6:$P$40,L4)</f>
        <v>0.90718469999999996</v>
      </c>
      <c r="M22" s="898">
        <f>SUMIFS('Emission Tab'!$Q$6:$Q$40,'Emission Tab'!$P$6:$P$40,M4)</f>
        <v>0.90718469999999996</v>
      </c>
      <c r="N22" s="898">
        <f>SUMIFS('Emission Tab'!$Q$6:$Q$40,'Emission Tab'!$P$6:$P$40,N4)</f>
        <v>0.90718469999999996</v>
      </c>
      <c r="O22" s="898">
        <f>SUMIFS('Emission Tab'!$Q$6:$Q$40,'Emission Tab'!$P$6:$P$40,O4)</f>
        <v>0.90718469999999996</v>
      </c>
      <c r="P22" s="898">
        <f>SUMIFS('Emission Tab'!$Q$6:$Q$40,'Emission Tab'!$P$6:$P$40,P4)</f>
        <v>0.90718469999999996</v>
      </c>
      <c r="Q22" s="898">
        <f>SUMIFS('Emission Tab'!$Q$6:$Q$40,'Emission Tab'!$P$6:$P$40,Q4)</f>
        <v>1.0886216400000412</v>
      </c>
      <c r="R22" s="898">
        <f>SUMIFS('Emission Tab'!$Q$6:$Q$40,'Emission Tab'!$P$6:$P$40,R4)</f>
        <v>1.2700585800000308</v>
      </c>
      <c r="S22" s="898">
        <f>SUMIFS('Emission Tab'!$Q$6:$Q$40,'Emission Tab'!$P$6:$P$40,S4)</f>
        <v>1.4514955200000206</v>
      </c>
      <c r="T22" s="898">
        <f>SUMIFS('Emission Tab'!$Q$6:$Q$40,'Emission Tab'!$P$6:$P$40,T4)</f>
        <v>1.6329324600000101</v>
      </c>
      <c r="U22" s="898">
        <f>SUMIFS('Emission Tab'!$Q$6:$Q$40,'Emission Tab'!$P$6:$P$40,U4)</f>
        <v>1.8143693999999999</v>
      </c>
      <c r="V22" s="898">
        <f>SUMIFS('Emission Tab'!$Q$6:$Q$40,'Emission Tab'!$P$6:$P$40,V4)</f>
        <v>1.8143693999999999</v>
      </c>
      <c r="W22" s="898">
        <f>SUMIFS('Emission Tab'!$Q$6:$Q$40,'Emission Tab'!$P$6:$P$40,W4)</f>
        <v>1.8143693999999999</v>
      </c>
      <c r="X22" s="898">
        <f>SUMIFS('Emission Tab'!$Q$6:$Q$40,'Emission Tab'!$P$6:$P$40,X4)</f>
        <v>1.8143693999999999</v>
      </c>
      <c r="Y22" s="898">
        <f>SUMIFS('Emission Tab'!$Q$6:$Q$40,'Emission Tab'!$P$6:$P$40,Y4)</f>
        <v>1.8143693999999999</v>
      </c>
      <c r="Z22" s="898">
        <f>SUMIFS('Emission Tab'!$Q$6:$Q$40,'Emission Tab'!$P$6:$P$40,Z4)</f>
        <v>1.8143693999999999</v>
      </c>
      <c r="AA22" s="898">
        <f>SUMIFS('Emission Tab'!$Q$6:$Q$40,'Emission Tab'!$P$6:$P$40,AA4)</f>
        <v>1.8143693999999999</v>
      </c>
      <c r="AB22" s="898">
        <f>SUMIFS('Emission Tab'!$Q$6:$Q$40,'Emission Tab'!$P$6:$P$40,AB4)</f>
        <v>1.8143693999999999</v>
      </c>
      <c r="AC22" s="898">
        <f>SUMIFS('Emission Tab'!$Q$6:$Q$40,'Emission Tab'!$P$6:$P$40,AC4)</f>
        <v>1.8143693999999999</v>
      </c>
      <c r="AD22" s="898">
        <f>SUMIFS('Emission Tab'!$Q$6:$Q$40,'Emission Tab'!$P$6:$P$40,AD4)</f>
        <v>1.8143693999999999</v>
      </c>
      <c r="AE22" s="898">
        <f>SUMIFS('Emission Tab'!$Q$6:$Q$40,'Emission Tab'!$P$6:$P$40,AE4)</f>
        <v>1.8143693999999999</v>
      </c>
      <c r="AF22" s="898">
        <f>SUMIFS('Emission Tab'!$Q$6:$Q$40,'Emission Tab'!$P$6:$P$40,AF4)</f>
        <v>1.8143693999999999</v>
      </c>
      <c r="AG22" s="898">
        <f>SUMIFS('Emission Tab'!$Q$6:$Q$40,'Emission Tab'!$P$6:$P$40,AG4)</f>
        <v>1.8143693999999999</v>
      </c>
      <c r="AH22" s="898">
        <f>SUMIFS('Emission Tab'!$Q$6:$Q$40,'Emission Tab'!$P$6:$P$40,AH4)</f>
        <v>1.8143693999999999</v>
      </c>
      <c r="AI22" s="898">
        <f>SUMIFS('Emission Tab'!$Q$6:$Q$40,'Emission Tab'!$P$6:$P$40,AI4)</f>
        <v>1.8143693999999999</v>
      </c>
      <c r="AJ22" s="898">
        <f>SUMIFS('Emission Tab'!$Q$6:$Q$40,'Emission Tab'!$P$6:$P$40,AJ4)</f>
        <v>1.8143693999999999</v>
      </c>
      <c r="AK22" s="898">
        <f>SUMIFS('Emission Tab'!$Q$6:$Q$40,'Emission Tab'!$P$6:$P$40,AK4)</f>
        <v>1.8143693999999999</v>
      </c>
      <c r="AL22" s="898">
        <f>SUMIFS('Emission Tab'!$Q$6:$Q$40,'Emission Tab'!$P$6:$P$40,AL4)</f>
        <v>1.8143693999999999</v>
      </c>
      <c r="AM22" s="898">
        <f>SUMIFS('Emission Tab'!$Q$6:$Q$40,'Emission Tab'!$P$6:$P$40,AM4)</f>
        <v>1.8143693999999999</v>
      </c>
      <c r="AN22" s="898">
        <f>SUMIFS('Emission Tab'!$Q$6:$Q$40,'Emission Tab'!$P$6:$P$40,AN4)</f>
        <v>0</v>
      </c>
    </row>
    <row r="24" spans="2:40" x14ac:dyDescent="0.25">
      <c r="B24" t="s">
        <v>1009</v>
      </c>
    </row>
    <row r="25" spans="2:40" x14ac:dyDescent="0.25">
      <c r="B25" s="751" t="s">
        <v>836</v>
      </c>
      <c r="C25" s="2" t="s">
        <v>1008</v>
      </c>
      <c r="D25" s="960"/>
      <c r="E25" s="960">
        <f>'Demand Forecast'!G18</f>
        <v>0</v>
      </c>
      <c r="F25" s="960">
        <f>'Demand Forecast'!H18</f>
        <v>0</v>
      </c>
      <c r="G25" s="960">
        <f>'Demand Forecast'!I18</f>
        <v>0</v>
      </c>
      <c r="H25" s="960">
        <f>'Demand Forecast'!J18</f>
        <v>0</v>
      </c>
      <c r="I25" s="960">
        <f>'Demand Forecast'!K18</f>
        <v>0</v>
      </c>
      <c r="J25" s="960">
        <f>'Demand Forecast'!L18</f>
        <v>0</v>
      </c>
      <c r="K25" s="960">
        <f>'Demand Forecast'!M18</f>
        <v>27324</v>
      </c>
      <c r="L25" s="960">
        <f>'Demand Forecast'!N18</f>
        <v>27398.25</v>
      </c>
      <c r="M25" s="960">
        <f>'Demand Forecast'!O18</f>
        <v>27472.5</v>
      </c>
      <c r="N25" s="960">
        <f>'Demand Forecast'!P18</f>
        <v>27546.75</v>
      </c>
      <c r="O25" s="960">
        <f>'Demand Forecast'!Q18</f>
        <v>27621</v>
      </c>
      <c r="P25" s="960">
        <f>'Demand Forecast'!R18</f>
        <v>27695.25</v>
      </c>
      <c r="Q25" s="960">
        <f>'Demand Forecast'!S18</f>
        <v>27769.5</v>
      </c>
      <c r="R25" s="960">
        <f>'Demand Forecast'!T18</f>
        <v>27843.75</v>
      </c>
      <c r="S25" s="960">
        <f>'Demand Forecast'!U18</f>
        <v>27918</v>
      </c>
      <c r="T25" s="960">
        <f>'Demand Forecast'!V18</f>
        <v>27992.25</v>
      </c>
      <c r="U25" s="960">
        <f>'Demand Forecast'!W18</f>
        <v>28066.5</v>
      </c>
      <c r="V25" s="960">
        <f>'Demand Forecast'!X18</f>
        <v>28140.75</v>
      </c>
      <c r="W25" s="960">
        <f>'Demand Forecast'!Y18</f>
        <v>28215</v>
      </c>
      <c r="X25" s="960">
        <f>'Demand Forecast'!Z18</f>
        <v>28289.25</v>
      </c>
      <c r="Y25" s="960">
        <f>'Demand Forecast'!AA18</f>
        <v>28363.5</v>
      </c>
      <c r="Z25" s="960">
        <f>'Demand Forecast'!AB18</f>
        <v>28437.75</v>
      </c>
      <c r="AA25" s="960">
        <f>'Demand Forecast'!AC18</f>
        <v>28512</v>
      </c>
      <c r="AB25" s="960">
        <f>'Demand Forecast'!AD18</f>
        <v>28586.25</v>
      </c>
      <c r="AC25" s="960">
        <f>'Demand Forecast'!AE18</f>
        <v>28660.5</v>
      </c>
      <c r="AD25" s="960">
        <f>'Demand Forecast'!AF18</f>
        <v>28734.75</v>
      </c>
      <c r="AE25" s="960">
        <f>'Demand Forecast'!AG18</f>
        <v>28809</v>
      </c>
      <c r="AF25" s="960">
        <f>'Demand Forecast'!AH18</f>
        <v>28883.25</v>
      </c>
      <c r="AG25" s="960">
        <f>'Demand Forecast'!AI18</f>
        <v>28957.5</v>
      </c>
      <c r="AH25" s="960">
        <f>'Demand Forecast'!AJ18</f>
        <v>29031.75</v>
      </c>
      <c r="AI25" s="960">
        <f>'Demand Forecast'!AK18</f>
        <v>29106</v>
      </c>
      <c r="AJ25" s="960">
        <f>'Demand Forecast'!AL18</f>
        <v>29180.25</v>
      </c>
      <c r="AK25" s="960">
        <f>'Demand Forecast'!AM18</f>
        <v>29254.5</v>
      </c>
      <c r="AL25" s="960">
        <f>'Demand Forecast'!AN18</f>
        <v>29328.75</v>
      </c>
      <c r="AM25" s="960">
        <f>'Demand Forecast'!AO18</f>
        <v>29403</v>
      </c>
      <c r="AN25" s="960">
        <f>'Demand Forecast'!AP18</f>
        <v>29477.25</v>
      </c>
    </row>
    <row r="26" spans="2:40" x14ac:dyDescent="0.25">
      <c r="B26" s="752" t="s">
        <v>736</v>
      </c>
      <c r="C26" s="749" t="s">
        <v>1008</v>
      </c>
      <c r="D26" s="899"/>
      <c r="E26" s="899">
        <f>'Demand Forecast'!G19</f>
        <v>0</v>
      </c>
      <c r="F26" s="899">
        <f>'Demand Forecast'!H19</f>
        <v>0</v>
      </c>
      <c r="G26" s="899">
        <f>'Demand Forecast'!I19</f>
        <v>0</v>
      </c>
      <c r="H26" s="899">
        <f>'Demand Forecast'!J19</f>
        <v>0</v>
      </c>
      <c r="I26" s="899">
        <f>'Demand Forecast'!K19</f>
        <v>0</v>
      </c>
      <c r="J26" s="899">
        <f>'Demand Forecast'!L19</f>
        <v>0</v>
      </c>
      <c r="K26" s="899">
        <f>'Demand Forecast'!M19</f>
        <v>276</v>
      </c>
      <c r="L26" s="899">
        <f>'Demand Forecast'!N19</f>
        <v>276.75</v>
      </c>
      <c r="M26" s="899">
        <f>'Demand Forecast'!O19</f>
        <v>277.5</v>
      </c>
      <c r="N26" s="899">
        <f>'Demand Forecast'!P19</f>
        <v>278.25</v>
      </c>
      <c r="O26" s="899">
        <f>'Demand Forecast'!Q19</f>
        <v>279</v>
      </c>
      <c r="P26" s="899">
        <f>'Demand Forecast'!R19</f>
        <v>279.75</v>
      </c>
      <c r="Q26" s="899">
        <f>'Demand Forecast'!S19</f>
        <v>280.5</v>
      </c>
      <c r="R26" s="899">
        <f>'Demand Forecast'!T19</f>
        <v>281.25</v>
      </c>
      <c r="S26" s="899">
        <f>'Demand Forecast'!U19</f>
        <v>282</v>
      </c>
      <c r="T26" s="899">
        <f>'Demand Forecast'!V19</f>
        <v>282.75</v>
      </c>
      <c r="U26" s="899">
        <f>'Demand Forecast'!W19</f>
        <v>283.5</v>
      </c>
      <c r="V26" s="899">
        <f>'Demand Forecast'!X19</f>
        <v>284.25</v>
      </c>
      <c r="W26" s="899">
        <f>'Demand Forecast'!Y19</f>
        <v>285</v>
      </c>
      <c r="X26" s="899">
        <f>'Demand Forecast'!Z19</f>
        <v>285.75</v>
      </c>
      <c r="Y26" s="899">
        <f>'Demand Forecast'!AA19</f>
        <v>286.5</v>
      </c>
      <c r="Z26" s="899">
        <f>'Demand Forecast'!AB19</f>
        <v>287.25</v>
      </c>
      <c r="AA26" s="899">
        <f>'Demand Forecast'!AC19</f>
        <v>288</v>
      </c>
      <c r="AB26" s="899">
        <f>'Demand Forecast'!AD19</f>
        <v>288.75</v>
      </c>
      <c r="AC26" s="899">
        <f>'Demand Forecast'!AE19</f>
        <v>289.5</v>
      </c>
      <c r="AD26" s="899">
        <f>'Demand Forecast'!AF19</f>
        <v>290.25</v>
      </c>
      <c r="AE26" s="899">
        <f>'Demand Forecast'!AG19</f>
        <v>291</v>
      </c>
      <c r="AF26" s="899">
        <f>'Demand Forecast'!AH19</f>
        <v>291.75</v>
      </c>
      <c r="AG26" s="899">
        <f>'Demand Forecast'!AI19</f>
        <v>292.5</v>
      </c>
      <c r="AH26" s="899">
        <f>'Demand Forecast'!AJ19</f>
        <v>293.25</v>
      </c>
      <c r="AI26" s="899">
        <f>'Demand Forecast'!AK19</f>
        <v>294</v>
      </c>
      <c r="AJ26" s="899">
        <f>'Demand Forecast'!AL19</f>
        <v>294.75</v>
      </c>
      <c r="AK26" s="899">
        <f>'Demand Forecast'!AM19</f>
        <v>295.5</v>
      </c>
      <c r="AL26" s="899">
        <f>'Demand Forecast'!AN19</f>
        <v>296.25</v>
      </c>
      <c r="AM26" s="899">
        <f>'Demand Forecast'!AO19</f>
        <v>297</v>
      </c>
      <c r="AN26" s="899">
        <f>'Demand Forecast'!AP19</f>
        <v>297.75</v>
      </c>
    </row>
    <row r="27" spans="2:40" s="1" customFormat="1" x14ac:dyDescent="0.25">
      <c r="B27" s="644" t="s">
        <v>682</v>
      </c>
      <c r="C27" s="652" t="s">
        <v>1008</v>
      </c>
      <c r="D27" s="834"/>
      <c r="E27" s="834">
        <f>SUM(E25:E26)</f>
        <v>0</v>
      </c>
      <c r="F27" s="834">
        <f t="shared" ref="F27:AM27" si="5">SUM(F25:F26)</f>
        <v>0</v>
      </c>
      <c r="G27" s="834">
        <f t="shared" si="5"/>
        <v>0</v>
      </c>
      <c r="H27" s="834">
        <f t="shared" si="5"/>
        <v>0</v>
      </c>
      <c r="I27" s="834">
        <f t="shared" si="5"/>
        <v>0</v>
      </c>
      <c r="J27" s="834">
        <f t="shared" si="5"/>
        <v>0</v>
      </c>
      <c r="K27" s="834">
        <f t="shared" si="5"/>
        <v>27600</v>
      </c>
      <c r="L27" s="834">
        <f t="shared" si="5"/>
        <v>27675</v>
      </c>
      <c r="M27" s="834">
        <f t="shared" si="5"/>
        <v>27750</v>
      </c>
      <c r="N27" s="834">
        <f t="shared" si="5"/>
        <v>27825</v>
      </c>
      <c r="O27" s="834">
        <f t="shared" si="5"/>
        <v>27900</v>
      </c>
      <c r="P27" s="834">
        <f t="shared" si="5"/>
        <v>27975</v>
      </c>
      <c r="Q27" s="834">
        <f t="shared" si="5"/>
        <v>28050</v>
      </c>
      <c r="R27" s="834">
        <f t="shared" si="5"/>
        <v>28125</v>
      </c>
      <c r="S27" s="834">
        <f t="shared" si="5"/>
        <v>28200</v>
      </c>
      <c r="T27" s="834">
        <f t="shared" si="5"/>
        <v>28275</v>
      </c>
      <c r="U27" s="834">
        <f t="shared" si="5"/>
        <v>28350</v>
      </c>
      <c r="V27" s="834">
        <f t="shared" si="5"/>
        <v>28425</v>
      </c>
      <c r="W27" s="834">
        <f t="shared" si="5"/>
        <v>28500</v>
      </c>
      <c r="X27" s="834">
        <f t="shared" si="5"/>
        <v>28575</v>
      </c>
      <c r="Y27" s="834">
        <f t="shared" si="5"/>
        <v>28650</v>
      </c>
      <c r="Z27" s="834">
        <f t="shared" si="5"/>
        <v>28725</v>
      </c>
      <c r="AA27" s="834">
        <f t="shared" si="5"/>
        <v>28800</v>
      </c>
      <c r="AB27" s="834">
        <f t="shared" si="5"/>
        <v>28875</v>
      </c>
      <c r="AC27" s="834">
        <f t="shared" si="5"/>
        <v>28950</v>
      </c>
      <c r="AD27" s="834">
        <f t="shared" si="5"/>
        <v>29025</v>
      </c>
      <c r="AE27" s="834">
        <f t="shared" si="5"/>
        <v>29100</v>
      </c>
      <c r="AF27" s="834">
        <f t="shared" si="5"/>
        <v>29175</v>
      </c>
      <c r="AG27" s="834">
        <f t="shared" si="5"/>
        <v>29250</v>
      </c>
      <c r="AH27" s="834">
        <f t="shared" si="5"/>
        <v>29325</v>
      </c>
      <c r="AI27" s="834">
        <f t="shared" si="5"/>
        <v>29400</v>
      </c>
      <c r="AJ27" s="834">
        <f t="shared" si="5"/>
        <v>29475</v>
      </c>
      <c r="AK27" s="834">
        <f t="shared" si="5"/>
        <v>29550</v>
      </c>
      <c r="AL27" s="834">
        <f t="shared" si="5"/>
        <v>29625</v>
      </c>
      <c r="AM27" s="834">
        <f t="shared" si="5"/>
        <v>29700</v>
      </c>
      <c r="AN27" s="834">
        <f t="shared" ref="AN27" si="6">SUM(AN25:AN26)</f>
        <v>29775</v>
      </c>
    </row>
    <row r="29" spans="2:40" x14ac:dyDescent="0.25">
      <c r="B29" t="s">
        <v>837</v>
      </c>
    </row>
    <row r="30" spans="2:40" x14ac:dyDescent="0.25">
      <c r="B30" s="751" t="s">
        <v>838</v>
      </c>
      <c r="C30" s="2" t="s">
        <v>971</v>
      </c>
      <c r="D30" s="900"/>
      <c r="E30" s="900">
        <f t="shared" ref="E30:AN30" si="7">E$25*E6/grams_ton</f>
        <v>0</v>
      </c>
      <c r="F30" s="900">
        <f t="shared" si="7"/>
        <v>0</v>
      </c>
      <c r="G30" s="900">
        <f t="shared" si="7"/>
        <v>0</v>
      </c>
      <c r="H30" s="900">
        <f t="shared" si="7"/>
        <v>0</v>
      </c>
      <c r="I30" s="900">
        <f t="shared" si="7"/>
        <v>0</v>
      </c>
      <c r="J30" s="900">
        <f t="shared" si="7"/>
        <v>0</v>
      </c>
      <c r="K30" s="900">
        <f t="shared" si="7"/>
        <v>1.3081931435584043E-3</v>
      </c>
      <c r="L30" s="900">
        <f t="shared" si="7"/>
        <v>1.2282641845449084E-3</v>
      </c>
      <c r="M30" s="900">
        <f t="shared" si="7"/>
        <v>1.1478827386388042E-3</v>
      </c>
      <c r="N30" s="900">
        <f t="shared" si="7"/>
        <v>1.0670488058400918E-3</v>
      </c>
      <c r="O30" s="900">
        <f t="shared" si="7"/>
        <v>9.8576238614877121E-4</v>
      </c>
      <c r="P30" s="900">
        <f t="shared" si="7"/>
        <v>9.0402347956484248E-4</v>
      </c>
      <c r="Q30" s="900">
        <f t="shared" si="7"/>
        <v>8.2183208608830563E-4</v>
      </c>
      <c r="R30" s="900">
        <f t="shared" si="7"/>
        <v>7.3918820571916056E-4</v>
      </c>
      <c r="S30" s="900">
        <f t="shared" si="7"/>
        <v>6.5609183845740727E-4</v>
      </c>
      <c r="T30" s="900">
        <f t="shared" si="7"/>
        <v>5.7254298430304586E-4</v>
      </c>
      <c r="U30" s="900">
        <f t="shared" si="7"/>
        <v>4.0302162055313101E-4</v>
      </c>
      <c r="V30" s="900">
        <f t="shared" si="7"/>
        <v>3.9185460466451769E-4</v>
      </c>
      <c r="W30" s="900">
        <f t="shared" si="7"/>
        <v>3.8062303357457467E-4</v>
      </c>
      <c r="X30" s="900">
        <f t="shared" si="7"/>
        <v>3.6932690728330193E-4</v>
      </c>
      <c r="Y30" s="900">
        <f t="shared" si="7"/>
        <v>3.5796622579069943E-4</v>
      </c>
      <c r="Z30" s="900">
        <f t="shared" si="7"/>
        <v>3.4654098909676722E-4</v>
      </c>
      <c r="AA30" s="900">
        <f t="shared" si="7"/>
        <v>3.3505119720150534E-4</v>
      </c>
      <c r="AB30" s="900">
        <f t="shared" si="7"/>
        <v>3.234968501049137E-4</v>
      </c>
      <c r="AC30" s="900">
        <f t="shared" si="7"/>
        <v>3.1187794780699235E-4</v>
      </c>
      <c r="AD30" s="900">
        <f t="shared" si="7"/>
        <v>3.0019449030774129E-4</v>
      </c>
      <c r="AE30" s="900">
        <f t="shared" si="7"/>
        <v>2.7592276854919532E-4</v>
      </c>
      <c r="AF30" s="900">
        <f t="shared" si="7"/>
        <v>2.7663390970524996E-4</v>
      </c>
      <c r="AG30" s="900">
        <f t="shared" si="7"/>
        <v>2.7734505086130456E-4</v>
      </c>
      <c r="AH30" s="900">
        <f t="shared" si="7"/>
        <v>2.780561920173592E-4</v>
      </c>
      <c r="AI30" s="900">
        <f t="shared" si="7"/>
        <v>2.7876733317341385E-4</v>
      </c>
      <c r="AJ30" s="900">
        <f t="shared" si="7"/>
        <v>2.7947847432946844E-4</v>
      </c>
      <c r="AK30" s="900">
        <f t="shared" si="7"/>
        <v>2.8018961548552309E-4</v>
      </c>
      <c r="AL30" s="900">
        <f t="shared" si="7"/>
        <v>2.8090075664157773E-4</v>
      </c>
      <c r="AM30" s="900">
        <f t="shared" si="7"/>
        <v>2.8161189779763232E-4</v>
      </c>
      <c r="AN30" s="900">
        <f t="shared" si="7"/>
        <v>2.8232303895368697E-4</v>
      </c>
    </row>
    <row r="31" spans="2:40" x14ac:dyDescent="0.25">
      <c r="B31" s="751" t="s">
        <v>839</v>
      </c>
      <c r="C31" s="2" t="s">
        <v>971</v>
      </c>
      <c r="D31" s="900"/>
      <c r="E31" s="900">
        <f t="shared" ref="E31:AN31" si="8">E$25*E7/grams_ton</f>
        <v>0</v>
      </c>
      <c r="F31" s="900">
        <f t="shared" si="8"/>
        <v>0</v>
      </c>
      <c r="G31" s="900">
        <f t="shared" si="8"/>
        <v>0</v>
      </c>
      <c r="H31" s="900">
        <f t="shared" si="8"/>
        <v>0</v>
      </c>
      <c r="I31" s="900">
        <f t="shared" si="8"/>
        <v>0</v>
      </c>
      <c r="J31" s="900">
        <f t="shared" si="8"/>
        <v>0</v>
      </c>
      <c r="K31" s="900">
        <f t="shared" si="8"/>
        <v>2.7793493025286261E-4</v>
      </c>
      <c r="L31" s="900">
        <f t="shared" si="8"/>
        <v>2.6395094892928161E-4</v>
      </c>
      <c r="M31" s="900">
        <f t="shared" si="8"/>
        <v>2.4988708012989454E-4</v>
      </c>
      <c r="N31" s="900">
        <f t="shared" si="8"/>
        <v>2.3574332385470137E-4</v>
      </c>
      <c r="O31" s="900">
        <f t="shared" si="8"/>
        <v>2.2151968010370208E-4</v>
      </c>
      <c r="P31" s="900">
        <f t="shared" si="8"/>
        <v>2.0721614887689673E-4</v>
      </c>
      <c r="Q31" s="900">
        <f t="shared" si="8"/>
        <v>1.9283273017428525E-4</v>
      </c>
      <c r="R31" s="900">
        <f t="shared" si="8"/>
        <v>1.7836942399586768E-4</v>
      </c>
      <c r="S31" s="900">
        <f t="shared" si="8"/>
        <v>1.6382623034164403E-4</v>
      </c>
      <c r="T31" s="900">
        <f t="shared" si="8"/>
        <v>1.4920314921161427E-4</v>
      </c>
      <c r="U31" s="900">
        <f t="shared" si="8"/>
        <v>1.194014476784263E-4</v>
      </c>
      <c r="V31" s="900">
        <f t="shared" si="8"/>
        <v>1.1730101857947763E-4</v>
      </c>
      <c r="W31" s="900">
        <f t="shared" si="8"/>
        <v>1.1518783852567586E-4</v>
      </c>
      <c r="X31" s="900">
        <f t="shared" si="8"/>
        <v>1.1306190751702101E-4</v>
      </c>
      <c r="Y31" s="900">
        <f t="shared" si="8"/>
        <v>1.1092322555351309E-4</v>
      </c>
      <c r="Z31" s="900">
        <f t="shared" si="8"/>
        <v>1.0877179263515209E-4</v>
      </c>
      <c r="AA31" s="900">
        <f t="shared" si="8"/>
        <v>1.0660760876193801E-4</v>
      </c>
      <c r="AB31" s="900">
        <f t="shared" si="8"/>
        <v>1.0443067393387083E-4</v>
      </c>
      <c r="AC31" s="900">
        <f t="shared" si="8"/>
        <v>1.0224098815095059E-4</v>
      </c>
      <c r="AD31" s="900">
        <f t="shared" si="8"/>
        <v>1.0003855141317726E-4</v>
      </c>
      <c r="AE31" s="900">
        <f t="shared" si="8"/>
        <v>9.5349678479053252E-5</v>
      </c>
      <c r="AF31" s="900">
        <f t="shared" si="8"/>
        <v>9.5595425073071436E-5</v>
      </c>
      <c r="AG31" s="900">
        <f t="shared" si="8"/>
        <v>9.5841171667089607E-5</v>
      </c>
      <c r="AH31" s="900">
        <f t="shared" si="8"/>
        <v>9.6086918261107792E-5</v>
      </c>
      <c r="AI31" s="900">
        <f t="shared" si="8"/>
        <v>9.6332664855125962E-5</v>
      </c>
      <c r="AJ31" s="900">
        <f t="shared" si="8"/>
        <v>9.6578411449144147E-5</v>
      </c>
      <c r="AK31" s="900">
        <f t="shared" si="8"/>
        <v>9.6824158043162318E-5</v>
      </c>
      <c r="AL31" s="900">
        <f t="shared" si="8"/>
        <v>9.7069904637180502E-5</v>
      </c>
      <c r="AM31" s="900">
        <f t="shared" si="8"/>
        <v>9.7315651231198686E-5</v>
      </c>
      <c r="AN31" s="900">
        <f t="shared" si="8"/>
        <v>9.7561397825216857E-5</v>
      </c>
    </row>
    <row r="32" spans="2:40" x14ac:dyDescent="0.25">
      <c r="B32" s="751" t="s">
        <v>840</v>
      </c>
      <c r="C32" s="2" t="s">
        <v>971</v>
      </c>
      <c r="D32" s="900"/>
      <c r="E32" s="900">
        <f t="shared" ref="E32:AN32" si="9">E$25*E8/grams_ton</f>
        <v>0</v>
      </c>
      <c r="F32" s="900">
        <f t="shared" si="9"/>
        <v>0</v>
      </c>
      <c r="G32" s="900">
        <f t="shared" si="9"/>
        <v>0</v>
      </c>
      <c r="H32" s="900">
        <f t="shared" si="9"/>
        <v>0</v>
      </c>
      <c r="I32" s="900">
        <f t="shared" si="9"/>
        <v>0</v>
      </c>
      <c r="J32" s="900">
        <f t="shared" si="9"/>
        <v>0</v>
      </c>
      <c r="K32" s="900">
        <f t="shared" si="9"/>
        <v>8.2732140345658997E-5</v>
      </c>
      <c r="L32" s="900">
        <f t="shared" si="9"/>
        <v>8.0293300373383811E-5</v>
      </c>
      <c r="M32" s="900">
        <f t="shared" si="9"/>
        <v>7.784002324354202E-5</v>
      </c>
      <c r="N32" s="900">
        <f t="shared" si="9"/>
        <v>7.5372308956133595E-5</v>
      </c>
      <c r="O32" s="900">
        <f t="shared" si="9"/>
        <v>7.2890157511158564E-5</v>
      </c>
      <c r="P32" s="900">
        <f t="shared" si="9"/>
        <v>7.0393568908616927E-5</v>
      </c>
      <c r="Q32" s="900">
        <f t="shared" si="9"/>
        <v>6.7882543148508657E-5</v>
      </c>
      <c r="R32" s="900">
        <f t="shared" si="9"/>
        <v>6.5357080230833781E-5</v>
      </c>
      <c r="S32" s="900">
        <f t="shared" si="9"/>
        <v>6.2817180155592286E-5</v>
      </c>
      <c r="T32" s="900">
        <f t="shared" si="9"/>
        <v>6.0262842922784185E-5</v>
      </c>
      <c r="U32" s="900">
        <f t="shared" si="9"/>
        <v>5.4965445752319123E-5</v>
      </c>
      <c r="V32" s="900">
        <f t="shared" si="9"/>
        <v>5.4664136532484154E-5</v>
      </c>
      <c r="W32" s="900">
        <f t="shared" si="9"/>
        <v>5.4360469948786471E-5</v>
      </c>
      <c r="X32" s="900">
        <f t="shared" si="9"/>
        <v>5.4054446001226071E-5</v>
      </c>
      <c r="Y32" s="900">
        <f t="shared" si="9"/>
        <v>5.3746064689802963E-5</v>
      </c>
      <c r="Z32" s="900">
        <f t="shared" si="9"/>
        <v>5.3435326014517146E-5</v>
      </c>
      <c r="AA32" s="900">
        <f t="shared" si="9"/>
        <v>5.3122229975368614E-5</v>
      </c>
      <c r="AB32" s="900">
        <f t="shared" si="9"/>
        <v>5.2806776572357366E-5</v>
      </c>
      <c r="AC32" s="900">
        <f t="shared" si="9"/>
        <v>5.2488965805483409E-5</v>
      </c>
      <c r="AD32" s="900">
        <f t="shared" si="9"/>
        <v>5.2168797674746743E-5</v>
      </c>
      <c r="AE32" s="900">
        <f t="shared" si="9"/>
        <v>5.1388943590781197E-5</v>
      </c>
      <c r="AF32" s="900">
        <f t="shared" si="9"/>
        <v>5.1521389321685272E-5</v>
      </c>
      <c r="AG32" s="900">
        <f t="shared" si="9"/>
        <v>5.1653835052589347E-5</v>
      </c>
      <c r="AH32" s="900">
        <f t="shared" si="9"/>
        <v>5.1786280783493422E-5</v>
      </c>
      <c r="AI32" s="900">
        <f t="shared" si="9"/>
        <v>5.1918726514397504E-5</v>
      </c>
      <c r="AJ32" s="900">
        <f t="shared" si="9"/>
        <v>5.2051172245301579E-5</v>
      </c>
      <c r="AK32" s="900">
        <f t="shared" si="9"/>
        <v>5.2183617976205654E-5</v>
      </c>
      <c r="AL32" s="900">
        <f t="shared" si="9"/>
        <v>5.2316063707109729E-5</v>
      </c>
      <c r="AM32" s="900">
        <f t="shared" si="9"/>
        <v>5.2448509438013804E-5</v>
      </c>
      <c r="AN32" s="900">
        <f t="shared" si="9"/>
        <v>5.2580955168917879E-5</v>
      </c>
    </row>
    <row r="33" spans="1:40" x14ac:dyDescent="0.25">
      <c r="B33" s="751" t="s">
        <v>841</v>
      </c>
      <c r="C33" s="2" t="s">
        <v>971</v>
      </c>
      <c r="D33" s="900"/>
      <c r="E33" s="900">
        <f t="shared" ref="E33:AN33" si="10">E$25*E9/grams_ton</f>
        <v>0</v>
      </c>
      <c r="F33" s="900">
        <f t="shared" si="10"/>
        <v>0</v>
      </c>
      <c r="G33" s="900">
        <f t="shared" si="10"/>
        <v>0</v>
      </c>
      <c r="H33" s="900">
        <f t="shared" si="10"/>
        <v>0</v>
      </c>
      <c r="I33" s="900">
        <f t="shared" si="10"/>
        <v>0</v>
      </c>
      <c r="J33" s="900">
        <f t="shared" si="10"/>
        <v>0</v>
      </c>
      <c r="K33" s="900">
        <f t="shared" si="10"/>
        <v>5.6530961923994515E-5</v>
      </c>
      <c r="L33" s="900">
        <f t="shared" si="10"/>
        <v>5.551651231195357E-5</v>
      </c>
      <c r="M33" s="900">
        <f t="shared" si="10"/>
        <v>5.4495731716951101E-5</v>
      </c>
      <c r="N33" s="900">
        <f t="shared" si="10"/>
        <v>5.3468620138987115E-5</v>
      </c>
      <c r="O33" s="900">
        <f t="shared" si="10"/>
        <v>5.2435177578061612E-5</v>
      </c>
      <c r="P33" s="900">
        <f t="shared" si="10"/>
        <v>5.1395404034174591E-5</v>
      </c>
      <c r="Q33" s="900">
        <f t="shared" si="10"/>
        <v>5.0349299507326067E-5</v>
      </c>
      <c r="R33" s="900">
        <f t="shared" si="10"/>
        <v>4.9296863997516019E-5</v>
      </c>
      <c r="S33" s="900">
        <f t="shared" si="10"/>
        <v>4.8238097504744453E-5</v>
      </c>
      <c r="T33" s="900">
        <f t="shared" si="10"/>
        <v>4.7173000029011377E-5</v>
      </c>
      <c r="U33" s="900">
        <f t="shared" si="10"/>
        <v>4.4905015790590289E-5</v>
      </c>
      <c r="V33" s="900">
        <f t="shared" si="10"/>
        <v>4.4858374060366208E-5</v>
      </c>
      <c r="W33" s="900">
        <f t="shared" si="10"/>
        <v>4.4810859306035026E-5</v>
      </c>
      <c r="X33" s="900">
        <f t="shared" si="10"/>
        <v>4.4762471527596749E-5</v>
      </c>
      <c r="Y33" s="900">
        <f t="shared" si="10"/>
        <v>4.4713210725051378E-5</v>
      </c>
      <c r="Z33" s="900">
        <f t="shared" si="10"/>
        <v>4.4663076898398913E-5</v>
      </c>
      <c r="AA33" s="900">
        <f t="shared" si="10"/>
        <v>4.4612070047639353E-5</v>
      </c>
      <c r="AB33" s="900">
        <f t="shared" si="10"/>
        <v>4.4560190172772698E-5</v>
      </c>
      <c r="AC33" s="900">
        <f t="shared" si="10"/>
        <v>4.450743727379895E-5</v>
      </c>
      <c r="AD33" s="900">
        <f t="shared" si="10"/>
        <v>4.4453811350718113E-5</v>
      </c>
      <c r="AE33" s="900">
        <f t="shared" si="10"/>
        <v>4.4229945726753792E-5</v>
      </c>
      <c r="AF33" s="900">
        <f t="shared" si="10"/>
        <v>4.4343940432235116E-5</v>
      </c>
      <c r="AG33" s="900">
        <f t="shared" si="10"/>
        <v>4.445793513771644E-5</v>
      </c>
      <c r="AH33" s="900">
        <f t="shared" si="10"/>
        <v>4.457192984319777E-5</v>
      </c>
      <c r="AI33" s="900">
        <f t="shared" si="10"/>
        <v>4.4685924548679094E-5</v>
      </c>
      <c r="AJ33" s="900">
        <f t="shared" si="10"/>
        <v>4.4799919254160418E-5</v>
      </c>
      <c r="AK33" s="900">
        <f t="shared" si="10"/>
        <v>4.4913913959641742E-5</v>
      </c>
      <c r="AL33" s="900">
        <f t="shared" si="10"/>
        <v>4.5027908665123059E-5</v>
      </c>
      <c r="AM33" s="900">
        <f t="shared" si="10"/>
        <v>4.5141903370604382E-5</v>
      </c>
      <c r="AN33" s="900">
        <f t="shared" si="10"/>
        <v>4.5255898076085706E-5</v>
      </c>
    </row>
    <row r="34" spans="1:40" x14ac:dyDescent="0.25">
      <c r="B34" s="752" t="s">
        <v>842</v>
      </c>
      <c r="C34" s="749" t="s">
        <v>971</v>
      </c>
      <c r="D34" s="901"/>
      <c r="E34" s="901">
        <f t="shared" ref="E34:AN34" si="11">E$25*E10/grams_ton</f>
        <v>0</v>
      </c>
      <c r="F34" s="901">
        <f t="shared" si="11"/>
        <v>0</v>
      </c>
      <c r="G34" s="901">
        <f t="shared" si="11"/>
        <v>0</v>
      </c>
      <c r="H34" s="901">
        <f t="shared" si="11"/>
        <v>0</v>
      </c>
      <c r="I34" s="901">
        <f t="shared" si="11"/>
        <v>0</v>
      </c>
      <c r="J34" s="901">
        <f t="shared" si="11"/>
        <v>0</v>
      </c>
      <c r="K34" s="901">
        <f t="shared" si="11"/>
        <v>8.4872962511272121</v>
      </c>
      <c r="L34" s="901">
        <f t="shared" si="11"/>
        <v>8.3324884615865304</v>
      </c>
      <c r="M34" s="901">
        <f t="shared" si="11"/>
        <v>8.1767166010725667</v>
      </c>
      <c r="N34" s="901">
        <f t="shared" si="11"/>
        <v>8.0199806695853173</v>
      </c>
      <c r="O34" s="901">
        <f t="shared" si="11"/>
        <v>7.862280667124784</v>
      </c>
      <c r="P34" s="901">
        <f t="shared" si="11"/>
        <v>7.7036165936909669</v>
      </c>
      <c r="Q34" s="901">
        <f t="shared" si="11"/>
        <v>7.5439884492838649</v>
      </c>
      <c r="R34" s="901">
        <f t="shared" si="11"/>
        <v>7.38339623390348</v>
      </c>
      <c r="S34" s="901">
        <f t="shared" si="11"/>
        <v>7.2218399475498103</v>
      </c>
      <c r="T34" s="901">
        <f t="shared" si="11"/>
        <v>7.0593195902228567</v>
      </c>
      <c r="U34" s="901">
        <f t="shared" si="11"/>
        <v>6.7136257479719239</v>
      </c>
      <c r="V34" s="901">
        <f t="shared" si="11"/>
        <v>6.7046010182067226</v>
      </c>
      <c r="W34" s="901">
        <f t="shared" si="11"/>
        <v>6.6954349393943309</v>
      </c>
      <c r="X34" s="901">
        <f t="shared" si="11"/>
        <v>6.6861275115347505</v>
      </c>
      <c r="Y34" s="901">
        <f t="shared" si="11"/>
        <v>6.6766787346279806</v>
      </c>
      <c r="Z34" s="901">
        <f t="shared" si="11"/>
        <v>6.6670886086740211</v>
      </c>
      <c r="AA34" s="901">
        <f t="shared" si="11"/>
        <v>6.6573571336728739</v>
      </c>
      <c r="AB34" s="901">
        <f t="shared" si="11"/>
        <v>6.6474843096245353</v>
      </c>
      <c r="AC34" s="901">
        <f t="shared" si="11"/>
        <v>6.637470136529009</v>
      </c>
      <c r="AD34" s="901">
        <f t="shared" si="11"/>
        <v>6.6273146143862922</v>
      </c>
      <c r="AE34" s="901">
        <f t="shared" si="11"/>
        <v>6.5895960280416572</v>
      </c>
      <c r="AF34" s="901">
        <f t="shared" si="11"/>
        <v>6.6065795229592901</v>
      </c>
      <c r="AG34" s="901">
        <f t="shared" si="11"/>
        <v>6.6235630178769238</v>
      </c>
      <c r="AH34" s="901">
        <f t="shared" si="11"/>
        <v>6.6405465127945567</v>
      </c>
      <c r="AI34" s="901">
        <f t="shared" si="11"/>
        <v>6.6575300077121895</v>
      </c>
      <c r="AJ34" s="901">
        <f t="shared" si="11"/>
        <v>6.6745135026298232</v>
      </c>
      <c r="AK34" s="901">
        <f t="shared" si="11"/>
        <v>6.6914969975474561</v>
      </c>
      <c r="AL34" s="901">
        <f t="shared" si="11"/>
        <v>6.7084804924650889</v>
      </c>
      <c r="AM34" s="901">
        <f t="shared" si="11"/>
        <v>6.7254639873827227</v>
      </c>
      <c r="AN34" s="901">
        <f t="shared" si="11"/>
        <v>6.7424474823003555</v>
      </c>
    </row>
    <row r="35" spans="1:40" s="1" customFormat="1" x14ac:dyDescent="0.25">
      <c r="A35" s="1011"/>
      <c r="B35" s="644" t="s">
        <v>393</v>
      </c>
      <c r="C35" s="652" t="s">
        <v>971</v>
      </c>
      <c r="D35" s="1040"/>
      <c r="E35" s="1040">
        <f>SUM(E30:E34)</f>
        <v>0</v>
      </c>
      <c r="F35" s="1040">
        <f t="shared" ref="F35:AM35" si="12">SUM(F30:F34)</f>
        <v>0</v>
      </c>
      <c r="G35" s="1040">
        <f t="shared" si="12"/>
        <v>0</v>
      </c>
      <c r="H35" s="1040">
        <f t="shared" si="12"/>
        <v>0</v>
      </c>
      <c r="I35" s="1040">
        <f t="shared" si="12"/>
        <v>0</v>
      </c>
      <c r="J35" s="1040">
        <f t="shared" si="12"/>
        <v>0</v>
      </c>
      <c r="K35" s="1040">
        <f t="shared" si="12"/>
        <v>8.4890216423032925</v>
      </c>
      <c r="L35" s="1040">
        <f t="shared" si="12"/>
        <v>8.3341164865326895</v>
      </c>
      <c r="M35" s="1040">
        <f t="shared" si="12"/>
        <v>8.1782467066462967</v>
      </c>
      <c r="N35" s="1040">
        <f t="shared" si="12"/>
        <v>8.0214123026441069</v>
      </c>
      <c r="O35" s="1040">
        <f t="shared" si="12"/>
        <v>7.8636132745261254</v>
      </c>
      <c r="P35" s="1040">
        <f t="shared" si="12"/>
        <v>7.7048496222923513</v>
      </c>
      <c r="Q35" s="1040">
        <f t="shared" si="12"/>
        <v>7.5451213459427837</v>
      </c>
      <c r="R35" s="1040">
        <f t="shared" si="12"/>
        <v>7.3844284454774236</v>
      </c>
      <c r="S35" s="1040">
        <f t="shared" si="12"/>
        <v>7.22277092089627</v>
      </c>
      <c r="T35" s="1040">
        <f t="shared" si="12"/>
        <v>7.060148772199323</v>
      </c>
      <c r="U35" s="1040">
        <f t="shared" si="12"/>
        <v>6.7142480415016985</v>
      </c>
      <c r="V35" s="1040">
        <f t="shared" si="12"/>
        <v>6.7052096963405594</v>
      </c>
      <c r="W35" s="1040">
        <f t="shared" si="12"/>
        <v>6.6960299215956862</v>
      </c>
      <c r="X35" s="1040">
        <f t="shared" si="12"/>
        <v>6.6867087172670798</v>
      </c>
      <c r="Y35" s="1040">
        <f t="shared" si="12"/>
        <v>6.6772460833547393</v>
      </c>
      <c r="Z35" s="1040">
        <f t="shared" si="12"/>
        <v>6.6676420198586657</v>
      </c>
      <c r="AA35" s="1040">
        <f t="shared" si="12"/>
        <v>6.6578965267788606</v>
      </c>
      <c r="AB35" s="1040">
        <f t="shared" si="12"/>
        <v>6.6480096041153196</v>
      </c>
      <c r="AC35" s="1040">
        <f t="shared" si="12"/>
        <v>6.6379812518680463</v>
      </c>
      <c r="AD35" s="1040">
        <f t="shared" si="12"/>
        <v>6.627811470037039</v>
      </c>
      <c r="AE35" s="1040">
        <f t="shared" si="12"/>
        <v>6.5900629193780027</v>
      </c>
      <c r="AF35" s="1040">
        <f t="shared" si="12"/>
        <v>6.607047617623822</v>
      </c>
      <c r="AG35" s="1040">
        <f t="shared" si="12"/>
        <v>6.6240323158696421</v>
      </c>
      <c r="AH35" s="1040">
        <f t="shared" si="12"/>
        <v>6.6410170141154614</v>
      </c>
      <c r="AI35" s="1040">
        <f t="shared" si="12"/>
        <v>6.6580017123612807</v>
      </c>
      <c r="AJ35" s="1040">
        <f t="shared" si="12"/>
        <v>6.6749864106071017</v>
      </c>
      <c r="AK35" s="1040">
        <f t="shared" si="12"/>
        <v>6.691971108852921</v>
      </c>
      <c r="AL35" s="1040">
        <f t="shared" si="12"/>
        <v>6.7089558070987403</v>
      </c>
      <c r="AM35" s="1040">
        <f t="shared" si="12"/>
        <v>6.7259405053445604</v>
      </c>
      <c r="AN35" s="1040">
        <f t="shared" ref="AN35" si="13">SUM(AN30:AN34)</f>
        <v>6.7429252035903797</v>
      </c>
    </row>
    <row r="37" spans="1:40" x14ac:dyDescent="0.25">
      <c r="A37" s="650"/>
      <c r="B37" t="s">
        <v>843</v>
      </c>
    </row>
    <row r="38" spans="1:40" x14ac:dyDescent="0.25">
      <c r="B38" s="751" t="s">
        <v>838</v>
      </c>
      <c r="C38" s="2" t="s">
        <v>971</v>
      </c>
      <c r="D38" s="902"/>
      <c r="E38" s="902">
        <f t="shared" ref="E38:AN38" si="14">E$26*E12/grams_ton</f>
        <v>0</v>
      </c>
      <c r="F38" s="902">
        <f t="shared" si="14"/>
        <v>0</v>
      </c>
      <c r="G38" s="902">
        <f t="shared" si="14"/>
        <v>0</v>
      </c>
      <c r="H38" s="902">
        <f t="shared" si="14"/>
        <v>0</v>
      </c>
      <c r="I38" s="902">
        <f t="shared" si="14"/>
        <v>0</v>
      </c>
      <c r="J38" s="902">
        <f t="shared" si="14"/>
        <v>0</v>
      </c>
      <c r="K38" s="902">
        <f t="shared" si="14"/>
        <v>6.603342426348296E-4</v>
      </c>
      <c r="L38" s="902">
        <f t="shared" si="14"/>
        <v>6.3776980402957962E-4</v>
      </c>
      <c r="M38" s="902">
        <f t="shared" si="14"/>
        <v>6.1507333927184114E-4</v>
      </c>
      <c r="N38" s="902">
        <f t="shared" si="14"/>
        <v>5.9224484836161394E-4</v>
      </c>
      <c r="O38" s="902">
        <f t="shared" si="14"/>
        <v>5.6928433129889813E-4</v>
      </c>
      <c r="P38" s="902">
        <f t="shared" si="14"/>
        <v>5.4619178808369381E-4</v>
      </c>
      <c r="Q38" s="902">
        <f t="shared" si="14"/>
        <v>5.2296721871600076E-4</v>
      </c>
      <c r="R38" s="902">
        <f t="shared" si="14"/>
        <v>4.9961062319581922E-4</v>
      </c>
      <c r="S38" s="902">
        <f t="shared" si="14"/>
        <v>4.7612200152314895E-4</v>
      </c>
      <c r="T38" s="902">
        <f t="shared" si="14"/>
        <v>4.5250135369799007E-4</v>
      </c>
      <c r="U38" s="902">
        <f t="shared" si="14"/>
        <v>4.0379573689999494E-4</v>
      </c>
      <c r="V38" s="902">
        <f t="shared" si="14"/>
        <v>4.0352020493024144E-4</v>
      </c>
      <c r="W38" s="902">
        <f t="shared" si="14"/>
        <v>4.032375818013324E-4</v>
      </c>
      <c r="X38" s="902">
        <f t="shared" si="14"/>
        <v>4.0294786751326789E-4</v>
      </c>
      <c r="Y38" s="902">
        <f t="shared" si="14"/>
        <v>4.026510620660479E-4</v>
      </c>
      <c r="Z38" s="902">
        <f t="shared" si="14"/>
        <v>4.0234716545967244E-4</v>
      </c>
      <c r="AA38" s="902">
        <f t="shared" si="14"/>
        <v>4.0203617769414145E-4</v>
      </c>
      <c r="AB38" s="902">
        <f t="shared" si="14"/>
        <v>4.0171809876945498E-4</v>
      </c>
      <c r="AC38" s="902">
        <f t="shared" si="14"/>
        <v>4.0139292868561298E-4</v>
      </c>
      <c r="AD38" s="902">
        <f t="shared" si="14"/>
        <v>4.0106066744261557E-4</v>
      </c>
      <c r="AE38" s="902">
        <f t="shared" si="14"/>
        <v>3.993456301642977E-4</v>
      </c>
      <c r="AF38" s="902">
        <f t="shared" si="14"/>
        <v>4.0037487147915414E-4</v>
      </c>
      <c r="AG38" s="902">
        <f t="shared" si="14"/>
        <v>4.0140411279401058E-4</v>
      </c>
      <c r="AH38" s="902">
        <f t="shared" si="14"/>
        <v>4.0243335410886701E-4</v>
      </c>
      <c r="AI38" s="902">
        <f t="shared" si="14"/>
        <v>4.0346259542372345E-4</v>
      </c>
      <c r="AJ38" s="902">
        <f t="shared" si="14"/>
        <v>4.0449183673857989E-4</v>
      </c>
      <c r="AK38" s="902">
        <f t="shared" si="14"/>
        <v>4.0552107805343632E-4</v>
      </c>
      <c r="AL38" s="902">
        <f t="shared" si="14"/>
        <v>4.0655031936829276E-4</v>
      </c>
      <c r="AM38" s="902">
        <f t="shared" si="14"/>
        <v>4.075795606831492E-4</v>
      </c>
      <c r="AN38" s="902">
        <f t="shared" si="14"/>
        <v>4.0860880199800563E-4</v>
      </c>
    </row>
    <row r="39" spans="1:40" x14ac:dyDescent="0.25">
      <c r="B39" s="751" t="s">
        <v>839</v>
      </c>
      <c r="C39" s="2" t="s">
        <v>971</v>
      </c>
      <c r="D39" s="902"/>
      <c r="E39" s="902">
        <f t="shared" ref="E39:AN39" si="15">E$26*E13/grams_ton</f>
        <v>0</v>
      </c>
      <c r="F39" s="902">
        <f t="shared" si="15"/>
        <v>0</v>
      </c>
      <c r="G39" s="902">
        <f t="shared" si="15"/>
        <v>0</v>
      </c>
      <c r="H39" s="902">
        <f t="shared" si="15"/>
        <v>0</v>
      </c>
      <c r="I39" s="902">
        <f t="shared" si="15"/>
        <v>0</v>
      </c>
      <c r="J39" s="902">
        <f t="shared" si="15"/>
        <v>0</v>
      </c>
      <c r="K39" s="902">
        <f t="shared" si="15"/>
        <v>4.2443610811788932E-5</v>
      </c>
      <c r="L39" s="902">
        <f t="shared" si="15"/>
        <v>4.0544610534589488E-5</v>
      </c>
      <c r="M39" s="902">
        <f t="shared" si="15"/>
        <v>3.863469244613723E-5</v>
      </c>
      <c r="N39" s="902">
        <f t="shared" si="15"/>
        <v>3.6713856546432149E-5</v>
      </c>
      <c r="O39" s="902">
        <f t="shared" si="15"/>
        <v>3.478210283547426E-5</v>
      </c>
      <c r="P39" s="902">
        <f t="shared" si="15"/>
        <v>3.2839431313263549E-5</v>
      </c>
      <c r="Q39" s="902">
        <f t="shared" si="15"/>
        <v>3.0885841979800023E-5</v>
      </c>
      <c r="R39" s="902">
        <f t="shared" si="15"/>
        <v>2.8921334835083684E-5</v>
      </c>
      <c r="S39" s="902">
        <f t="shared" si="15"/>
        <v>2.694590987911453E-5</v>
      </c>
      <c r="T39" s="902">
        <f t="shared" si="15"/>
        <v>2.4959567111892558E-5</v>
      </c>
      <c r="U39" s="902">
        <f t="shared" si="15"/>
        <v>2.0898840206635564E-5</v>
      </c>
      <c r="V39" s="902">
        <f t="shared" si="15"/>
        <v>2.0883042920487663E-5</v>
      </c>
      <c r="W39" s="902">
        <f t="shared" si="15"/>
        <v>2.0866870514428404E-5</v>
      </c>
      <c r="X39" s="902">
        <f t="shared" si="15"/>
        <v>2.0850322988457786E-5</v>
      </c>
      <c r="Y39" s="902">
        <f t="shared" si="15"/>
        <v>2.0833400342575811E-5</v>
      </c>
      <c r="Z39" s="902">
        <f t="shared" si="15"/>
        <v>2.0816102576782472E-5</v>
      </c>
      <c r="AA39" s="902">
        <f t="shared" si="15"/>
        <v>2.079842969107778E-5</v>
      </c>
      <c r="AB39" s="902">
        <f t="shared" si="15"/>
        <v>2.0780381685461724E-5</v>
      </c>
      <c r="AC39" s="902">
        <f t="shared" si="15"/>
        <v>2.0761958559934315E-5</v>
      </c>
      <c r="AD39" s="902">
        <f t="shared" si="15"/>
        <v>2.0743160314495546E-5</v>
      </c>
      <c r="AE39" s="902">
        <f t="shared" si="15"/>
        <v>2.0651213686341814E-5</v>
      </c>
      <c r="AF39" s="902">
        <f t="shared" si="15"/>
        <v>2.0704438463883931E-5</v>
      </c>
      <c r="AG39" s="902">
        <f t="shared" si="15"/>
        <v>2.0757663241426049E-5</v>
      </c>
      <c r="AH39" s="902">
        <f t="shared" si="15"/>
        <v>2.0810888018968169E-5</v>
      </c>
      <c r="AI39" s="902">
        <f t="shared" si="15"/>
        <v>2.0864112796510287E-5</v>
      </c>
      <c r="AJ39" s="902">
        <f t="shared" si="15"/>
        <v>2.0917337574052404E-5</v>
      </c>
      <c r="AK39" s="902">
        <f t="shared" si="15"/>
        <v>2.0970562351594521E-5</v>
      </c>
      <c r="AL39" s="902">
        <f t="shared" si="15"/>
        <v>2.1023787129136642E-5</v>
      </c>
      <c r="AM39" s="902">
        <f t="shared" si="15"/>
        <v>2.1077011906678759E-5</v>
      </c>
      <c r="AN39" s="902">
        <f t="shared" si="15"/>
        <v>2.1130236684220877E-5</v>
      </c>
    </row>
    <row r="40" spans="1:40" x14ac:dyDescent="0.25">
      <c r="B40" s="751" t="s">
        <v>840</v>
      </c>
      <c r="C40" s="2" t="s">
        <v>971</v>
      </c>
      <c r="D40" s="902"/>
      <c r="E40" s="902">
        <f t="shared" ref="E40:AN40" si="16">E$26*E14/grams_ton</f>
        <v>0</v>
      </c>
      <c r="F40" s="902">
        <f t="shared" si="16"/>
        <v>0</v>
      </c>
      <c r="G40" s="902">
        <f t="shared" si="16"/>
        <v>0</v>
      </c>
      <c r="H40" s="902">
        <f t="shared" si="16"/>
        <v>0</v>
      </c>
      <c r="I40" s="902">
        <f t="shared" si="16"/>
        <v>0</v>
      </c>
      <c r="J40" s="902">
        <f t="shared" si="16"/>
        <v>0</v>
      </c>
      <c r="K40" s="902">
        <f t="shared" si="16"/>
        <v>2.6352204712060503E-5</v>
      </c>
      <c r="L40" s="902">
        <f t="shared" si="16"/>
        <v>2.489184590336625E-5</v>
      </c>
      <c r="M40" s="902">
        <f t="shared" si="16"/>
        <v>2.3423183744749893E-5</v>
      </c>
      <c r="N40" s="902">
        <f t="shared" si="16"/>
        <v>2.1946218236211423E-5</v>
      </c>
      <c r="O40" s="902">
        <f t="shared" si="16"/>
        <v>2.0460949377750843E-5</v>
      </c>
      <c r="P40" s="902">
        <f t="shared" si="16"/>
        <v>1.8967377169368156E-5</v>
      </c>
      <c r="Q40" s="902">
        <f t="shared" si="16"/>
        <v>1.7465501611063358E-5</v>
      </c>
      <c r="R40" s="902">
        <f t="shared" si="16"/>
        <v>1.5955322702836453E-5</v>
      </c>
      <c r="S40" s="902">
        <f t="shared" si="16"/>
        <v>1.4436840444687439E-5</v>
      </c>
      <c r="T40" s="902">
        <f t="shared" si="16"/>
        <v>1.2910054836616312E-5</v>
      </c>
      <c r="U40" s="902">
        <f t="shared" si="16"/>
        <v>9.8056327433443973E-6</v>
      </c>
      <c r="V40" s="902">
        <f t="shared" si="16"/>
        <v>9.7743794309532637E-6</v>
      </c>
      <c r="W40" s="902">
        <f t="shared" si="16"/>
        <v>9.7428243025212086E-6</v>
      </c>
      <c r="X40" s="902">
        <f t="shared" si="16"/>
        <v>9.7109673580482337E-6</v>
      </c>
      <c r="Y40" s="902">
        <f t="shared" si="16"/>
        <v>9.6788085975343356E-6</v>
      </c>
      <c r="Z40" s="902">
        <f t="shared" si="16"/>
        <v>9.6463480209795212E-6</v>
      </c>
      <c r="AA40" s="902">
        <f t="shared" si="16"/>
        <v>9.6135856283837836E-6</v>
      </c>
      <c r="AB40" s="902">
        <f t="shared" si="16"/>
        <v>9.5805214197471261E-6</v>
      </c>
      <c r="AC40" s="902">
        <f t="shared" si="16"/>
        <v>9.5471553950695473E-6</v>
      </c>
      <c r="AD40" s="902">
        <f t="shared" si="16"/>
        <v>9.5134875543510486E-6</v>
      </c>
      <c r="AE40" s="902">
        <f t="shared" si="16"/>
        <v>9.4209655856530007E-6</v>
      </c>
      <c r="AF40" s="902">
        <f t="shared" si="16"/>
        <v>9.4452464247912817E-6</v>
      </c>
      <c r="AG40" s="902">
        <f t="shared" si="16"/>
        <v>9.4695272639295628E-6</v>
      </c>
      <c r="AH40" s="902">
        <f t="shared" si="16"/>
        <v>9.4938081030678439E-6</v>
      </c>
      <c r="AI40" s="902">
        <f t="shared" si="16"/>
        <v>9.5180889422061249E-6</v>
      </c>
      <c r="AJ40" s="902">
        <f t="shared" si="16"/>
        <v>9.542369781344406E-6</v>
      </c>
      <c r="AK40" s="902">
        <f t="shared" si="16"/>
        <v>9.5666506204826871E-6</v>
      </c>
      <c r="AL40" s="902">
        <f t="shared" si="16"/>
        <v>9.5909314596209664E-6</v>
      </c>
      <c r="AM40" s="902">
        <f t="shared" si="16"/>
        <v>9.6152122987592475E-6</v>
      </c>
      <c r="AN40" s="902">
        <f t="shared" si="16"/>
        <v>9.6394931378975286E-6</v>
      </c>
    </row>
    <row r="41" spans="1:40" x14ac:dyDescent="0.25">
      <c r="B41" s="751" t="s">
        <v>841</v>
      </c>
      <c r="C41" s="2" t="s">
        <v>971</v>
      </c>
      <c r="D41" s="902"/>
      <c r="E41" s="902">
        <f t="shared" ref="E41:AN41" si="17">E$26*E15/grams_ton</f>
        <v>0</v>
      </c>
      <c r="F41" s="902">
        <f t="shared" si="17"/>
        <v>0</v>
      </c>
      <c r="G41" s="902">
        <f t="shared" si="17"/>
        <v>0</v>
      </c>
      <c r="H41" s="902">
        <f t="shared" si="17"/>
        <v>0</v>
      </c>
      <c r="I41" s="902">
        <f t="shared" si="17"/>
        <v>0</v>
      </c>
      <c r="J41" s="902">
        <f t="shared" si="17"/>
        <v>0</v>
      </c>
      <c r="K41" s="902">
        <f t="shared" si="17"/>
        <v>4.1376710950294099E-6</v>
      </c>
      <c r="L41" s="902">
        <f t="shared" si="17"/>
        <v>4.1397451495646149E-6</v>
      </c>
      <c r="M41" s="902">
        <f t="shared" si="17"/>
        <v>4.1417695042791221E-6</v>
      </c>
      <c r="N41" s="902">
        <f t="shared" si="17"/>
        <v>4.1437441591729324E-6</v>
      </c>
      <c r="O41" s="902">
        <f t="shared" si="17"/>
        <v>4.1456691142460448E-6</v>
      </c>
      <c r="P41" s="902">
        <f t="shared" si="17"/>
        <v>4.1475443694984603E-6</v>
      </c>
      <c r="Q41" s="902">
        <f t="shared" si="17"/>
        <v>4.1493699249301779E-6</v>
      </c>
      <c r="R41" s="902">
        <f t="shared" si="17"/>
        <v>4.1511457805411977E-6</v>
      </c>
      <c r="S41" s="902">
        <f t="shared" si="17"/>
        <v>4.1528719363315206E-6</v>
      </c>
      <c r="T41" s="902">
        <f t="shared" si="17"/>
        <v>4.1545483923011456E-6</v>
      </c>
      <c r="U41" s="902">
        <f t="shared" si="17"/>
        <v>4.1467818823382566E-6</v>
      </c>
      <c r="V41" s="902">
        <f t="shared" si="17"/>
        <v>4.1567336038925834E-6</v>
      </c>
      <c r="W41" s="902">
        <f t="shared" si="17"/>
        <v>4.1666799502443459E-6</v>
      </c>
      <c r="X41" s="902">
        <f t="shared" si="17"/>
        <v>4.176620921393545E-6</v>
      </c>
      <c r="Y41" s="902">
        <f t="shared" si="17"/>
        <v>4.1865565173401816E-6</v>
      </c>
      <c r="Z41" s="902">
        <f t="shared" si="17"/>
        <v>4.1964867380842547E-6</v>
      </c>
      <c r="AA41" s="902">
        <f t="shared" si="17"/>
        <v>4.2064115836257645E-6</v>
      </c>
      <c r="AB41" s="902">
        <f t="shared" si="17"/>
        <v>4.2163310539647117E-6</v>
      </c>
      <c r="AC41" s="902">
        <f t="shared" si="17"/>
        <v>4.2262451491010947E-6</v>
      </c>
      <c r="AD41" s="902">
        <f t="shared" si="17"/>
        <v>4.2361538690349152E-6</v>
      </c>
      <c r="AE41" s="902">
        <f t="shared" si="17"/>
        <v>4.2450144244689156E-6</v>
      </c>
      <c r="AF41" s="902">
        <f t="shared" si="17"/>
        <v>4.2559551832948659E-6</v>
      </c>
      <c r="AG41" s="902">
        <f t="shared" si="17"/>
        <v>4.266895942120817E-6</v>
      </c>
      <c r="AH41" s="902">
        <f t="shared" si="17"/>
        <v>4.2778367009467682E-6</v>
      </c>
      <c r="AI41" s="902">
        <f t="shared" si="17"/>
        <v>4.2887774597727185E-6</v>
      </c>
      <c r="AJ41" s="902">
        <f t="shared" si="17"/>
        <v>4.2997182185986697E-6</v>
      </c>
      <c r="AK41" s="902">
        <f t="shared" si="17"/>
        <v>4.31065897742462E-6</v>
      </c>
      <c r="AL41" s="902">
        <f t="shared" si="17"/>
        <v>4.3215997362505711E-6</v>
      </c>
      <c r="AM41" s="902">
        <f t="shared" si="17"/>
        <v>4.3325404950765223E-6</v>
      </c>
      <c r="AN41" s="902">
        <f t="shared" si="17"/>
        <v>4.3434812539024726E-6</v>
      </c>
    </row>
    <row r="42" spans="1:40" x14ac:dyDescent="0.25">
      <c r="B42" s="752" t="s">
        <v>842</v>
      </c>
      <c r="C42" s="749" t="s">
        <v>971</v>
      </c>
      <c r="D42" s="903"/>
      <c r="E42" s="903">
        <f t="shared" ref="E42:AN42" si="18">E$26*E16/grams_ton</f>
        <v>0</v>
      </c>
      <c r="F42" s="903">
        <f t="shared" si="18"/>
        <v>0</v>
      </c>
      <c r="G42" s="903">
        <f t="shared" si="18"/>
        <v>0</v>
      </c>
      <c r="H42" s="903">
        <f t="shared" si="18"/>
        <v>0</v>
      </c>
      <c r="I42" s="903">
        <f t="shared" si="18"/>
        <v>0</v>
      </c>
      <c r="J42" s="903">
        <f t="shared" si="18"/>
        <v>0</v>
      </c>
      <c r="K42" s="903">
        <f t="shared" si="18"/>
        <v>0.4937986417769834</v>
      </c>
      <c r="L42" s="903">
        <f t="shared" si="18"/>
        <v>0.49425951641980437</v>
      </c>
      <c r="M42" s="903">
        <f t="shared" si="18"/>
        <v>0.49471561616022725</v>
      </c>
      <c r="N42" s="903">
        <f t="shared" si="18"/>
        <v>0.49516694099825209</v>
      </c>
      <c r="O42" s="903">
        <f t="shared" si="18"/>
        <v>0.4956134909338788</v>
      </c>
      <c r="P42" s="903">
        <f t="shared" si="18"/>
        <v>0.49605526596710753</v>
      </c>
      <c r="Q42" s="903">
        <f t="shared" si="18"/>
        <v>0.49649226609793812</v>
      </c>
      <c r="R42" s="903">
        <f t="shared" si="18"/>
        <v>0.49692449132637073</v>
      </c>
      <c r="S42" s="903">
        <f t="shared" si="18"/>
        <v>0.49735194165240515</v>
      </c>
      <c r="T42" s="903">
        <f t="shared" si="18"/>
        <v>0.49777461707604165</v>
      </c>
      <c r="U42" s="903">
        <f t="shared" si="18"/>
        <v>0.49729006104404638</v>
      </c>
      <c r="V42" s="903">
        <f t="shared" si="18"/>
        <v>0.49849235435084333</v>
      </c>
      <c r="W42" s="903">
        <f t="shared" si="18"/>
        <v>0.49969404982721666</v>
      </c>
      <c r="X42" s="903">
        <f t="shared" si="18"/>
        <v>0.50089514747316632</v>
      </c>
      <c r="Y42" s="903">
        <f t="shared" si="18"/>
        <v>0.50209564728869238</v>
      </c>
      <c r="Z42" s="903">
        <f t="shared" si="18"/>
        <v>0.50329554927379483</v>
      </c>
      <c r="AA42" s="903">
        <f t="shared" si="18"/>
        <v>0.50449485342847367</v>
      </c>
      <c r="AB42" s="903">
        <f t="shared" si="18"/>
        <v>0.50569355975272889</v>
      </c>
      <c r="AC42" s="903">
        <f t="shared" si="18"/>
        <v>0.50689166824656051</v>
      </c>
      <c r="AD42" s="903">
        <f t="shared" si="18"/>
        <v>0.50808917890996841</v>
      </c>
      <c r="AE42" s="903">
        <f t="shared" si="18"/>
        <v>0.50917011264076906</v>
      </c>
      <c r="AF42" s="903">
        <f t="shared" si="18"/>
        <v>0.51048240674551326</v>
      </c>
      <c r="AG42" s="903">
        <f t="shared" si="18"/>
        <v>0.51179470085025747</v>
      </c>
      <c r="AH42" s="903">
        <f t="shared" si="18"/>
        <v>0.51310699495500178</v>
      </c>
      <c r="AI42" s="903">
        <f t="shared" si="18"/>
        <v>0.51441928905974599</v>
      </c>
      <c r="AJ42" s="903">
        <f t="shared" si="18"/>
        <v>0.5157315831644903</v>
      </c>
      <c r="AK42" s="903">
        <f t="shared" si="18"/>
        <v>0.51704387726923451</v>
      </c>
      <c r="AL42" s="903">
        <f t="shared" si="18"/>
        <v>0.51835617137397882</v>
      </c>
      <c r="AM42" s="903">
        <f t="shared" si="18"/>
        <v>0.51966846547872303</v>
      </c>
      <c r="AN42" s="903">
        <f t="shared" si="18"/>
        <v>0.52098075958346723</v>
      </c>
    </row>
    <row r="43" spans="1:40" s="1" customFormat="1" x14ac:dyDescent="0.25">
      <c r="B43" s="644" t="s">
        <v>393</v>
      </c>
      <c r="C43" s="652" t="s">
        <v>971</v>
      </c>
      <c r="D43" s="1040"/>
      <c r="E43" s="1040">
        <f>SUM(E38:E42)</f>
        <v>0</v>
      </c>
      <c r="F43" s="1040">
        <f t="shared" ref="F43:AM43" si="19">SUM(F38:F42)</f>
        <v>0</v>
      </c>
      <c r="G43" s="1040">
        <f t="shared" si="19"/>
        <v>0</v>
      </c>
      <c r="H43" s="1040">
        <f t="shared" si="19"/>
        <v>0</v>
      </c>
      <c r="I43" s="1040">
        <f t="shared" si="19"/>
        <v>0</v>
      </c>
      <c r="J43" s="1040">
        <f t="shared" si="19"/>
        <v>0</v>
      </c>
      <c r="K43" s="1040">
        <f t="shared" si="19"/>
        <v>0.4945319095062371</v>
      </c>
      <c r="L43" s="1040">
        <f t="shared" si="19"/>
        <v>0.49496686242542148</v>
      </c>
      <c r="M43" s="1040">
        <f t="shared" si="19"/>
        <v>0.49539688914519425</v>
      </c>
      <c r="N43" s="1040">
        <f t="shared" si="19"/>
        <v>0.49582198966555552</v>
      </c>
      <c r="O43" s="1040">
        <f t="shared" si="19"/>
        <v>0.49624216398650517</v>
      </c>
      <c r="P43" s="1040">
        <f t="shared" si="19"/>
        <v>0.49665741210804337</v>
      </c>
      <c r="Q43" s="1040">
        <f t="shared" si="19"/>
        <v>0.49706773403016991</v>
      </c>
      <c r="R43" s="1040">
        <f t="shared" si="19"/>
        <v>0.49747312975288499</v>
      </c>
      <c r="S43" s="1040">
        <f t="shared" si="19"/>
        <v>0.49787359927618841</v>
      </c>
      <c r="T43" s="1040">
        <f t="shared" si="19"/>
        <v>0.49826914260008043</v>
      </c>
      <c r="U43" s="1040">
        <f t="shared" si="19"/>
        <v>0.49772870803577868</v>
      </c>
      <c r="V43" s="1040">
        <f t="shared" si="19"/>
        <v>0.49893068871172891</v>
      </c>
      <c r="W43" s="1040">
        <f t="shared" si="19"/>
        <v>0.50013206378378516</v>
      </c>
      <c r="X43" s="1040">
        <f t="shared" si="19"/>
        <v>0.50133283325194744</v>
      </c>
      <c r="Y43" s="1040">
        <f t="shared" si="19"/>
        <v>0.50253299711621591</v>
      </c>
      <c r="Z43" s="1040">
        <f t="shared" si="19"/>
        <v>0.50373255537659034</v>
      </c>
      <c r="AA43" s="1040">
        <f t="shared" si="19"/>
        <v>0.50493150803307085</v>
      </c>
      <c r="AB43" s="1040">
        <f t="shared" si="19"/>
        <v>0.50612985508565755</v>
      </c>
      <c r="AC43" s="1040">
        <f t="shared" si="19"/>
        <v>0.50732759653435022</v>
      </c>
      <c r="AD43" s="1040">
        <f t="shared" si="19"/>
        <v>0.50852473237914886</v>
      </c>
      <c r="AE43" s="1040">
        <f t="shared" si="19"/>
        <v>0.50960377546462987</v>
      </c>
      <c r="AF43" s="1040">
        <f t="shared" si="19"/>
        <v>0.51091718725706436</v>
      </c>
      <c r="AG43" s="1040">
        <f t="shared" si="19"/>
        <v>0.51223059904949897</v>
      </c>
      <c r="AH43" s="1040">
        <f t="shared" si="19"/>
        <v>0.51354401084193368</v>
      </c>
      <c r="AI43" s="1040">
        <f t="shared" si="19"/>
        <v>0.51485742263436818</v>
      </c>
      <c r="AJ43" s="1040">
        <f t="shared" si="19"/>
        <v>0.51617083442680289</v>
      </c>
      <c r="AK43" s="1040">
        <f t="shared" si="19"/>
        <v>0.5174842462192375</v>
      </c>
      <c r="AL43" s="1040">
        <f t="shared" si="19"/>
        <v>0.5187976580116721</v>
      </c>
      <c r="AM43" s="1040">
        <f t="shared" si="19"/>
        <v>0.52011106980410671</v>
      </c>
      <c r="AN43" s="1040">
        <f t="shared" ref="AN43" si="20">SUM(AN38:AN42)</f>
        <v>0.52142448159654131</v>
      </c>
    </row>
    <row r="45" spans="1:40" x14ac:dyDescent="0.25">
      <c r="B45" s="824" t="s">
        <v>845</v>
      </c>
    </row>
    <row r="46" spans="1:40" x14ac:dyDescent="0.25">
      <c r="B46" s="751" t="s">
        <v>838</v>
      </c>
      <c r="C46" s="2" t="s">
        <v>967</v>
      </c>
      <c r="D46" s="905"/>
      <c r="E46" s="905">
        <f t="shared" ref="E46:AN46" si="21">E30*E18</f>
        <v>0</v>
      </c>
      <c r="F46" s="905">
        <f t="shared" si="21"/>
        <v>0</v>
      </c>
      <c r="G46" s="905">
        <f t="shared" si="21"/>
        <v>0</v>
      </c>
      <c r="H46" s="905">
        <f t="shared" si="21"/>
        <v>0</v>
      </c>
      <c r="I46" s="905">
        <f t="shared" si="21"/>
        <v>0</v>
      </c>
      <c r="J46" s="905">
        <f t="shared" si="21"/>
        <v>0</v>
      </c>
      <c r="K46" s="905">
        <f t="shared" si="21"/>
        <v>10.858003091534757</v>
      </c>
      <c r="L46" s="905">
        <f t="shared" si="21"/>
        <v>10.194592731722739</v>
      </c>
      <c r="M46" s="905">
        <f t="shared" si="21"/>
        <v>9.527426730702075</v>
      </c>
      <c r="N46" s="905">
        <f t="shared" si="21"/>
        <v>8.8565050884727619</v>
      </c>
      <c r="O46" s="905">
        <f t="shared" si="21"/>
        <v>8.1818278050348017</v>
      </c>
      <c r="P46" s="905">
        <f t="shared" si="21"/>
        <v>7.5033948803881927</v>
      </c>
      <c r="Q46" s="905">
        <f t="shared" si="21"/>
        <v>6.8212063145329367</v>
      </c>
      <c r="R46" s="905">
        <f t="shared" si="21"/>
        <v>6.1352621074690328</v>
      </c>
      <c r="S46" s="905">
        <f t="shared" si="21"/>
        <v>5.4455622591964801</v>
      </c>
      <c r="T46" s="905">
        <f t="shared" si="21"/>
        <v>4.7521067697152803</v>
      </c>
      <c r="U46" s="905">
        <f t="shared" si="21"/>
        <v>3.3450794505909873</v>
      </c>
      <c r="V46" s="905">
        <f t="shared" si="21"/>
        <v>3.2523932187154969</v>
      </c>
      <c r="W46" s="905">
        <f t="shared" si="21"/>
        <v>3.1591711786689696</v>
      </c>
      <c r="X46" s="905">
        <f t="shared" si="21"/>
        <v>3.0654133304514062</v>
      </c>
      <c r="Y46" s="905">
        <f t="shared" si="21"/>
        <v>2.9711196740628054</v>
      </c>
      <c r="Z46" s="905">
        <f t="shared" si="21"/>
        <v>2.8762902095031677</v>
      </c>
      <c r="AA46" s="905">
        <f t="shared" si="21"/>
        <v>2.7809249367724944</v>
      </c>
      <c r="AB46" s="905">
        <f t="shared" si="21"/>
        <v>2.6850238558707837</v>
      </c>
      <c r="AC46" s="905">
        <f t="shared" si="21"/>
        <v>2.5885869667980366</v>
      </c>
      <c r="AD46" s="905">
        <f t="shared" si="21"/>
        <v>2.4916142695542525</v>
      </c>
      <c r="AE46" s="905">
        <f t="shared" si="21"/>
        <v>2.290158978958321</v>
      </c>
      <c r="AF46" s="905">
        <f t="shared" si="21"/>
        <v>2.2960614505535748</v>
      </c>
      <c r="AG46" s="905">
        <f t="shared" si="21"/>
        <v>2.3019639221488277</v>
      </c>
      <c r="AH46" s="905">
        <f t="shared" si="21"/>
        <v>2.3078663937440815</v>
      </c>
      <c r="AI46" s="905">
        <f t="shared" si="21"/>
        <v>2.3137688653393349</v>
      </c>
      <c r="AJ46" s="905">
        <f t="shared" si="21"/>
        <v>2.3196713369345883</v>
      </c>
      <c r="AK46" s="905">
        <f t="shared" si="21"/>
        <v>2.3255738085298416</v>
      </c>
      <c r="AL46" s="905">
        <f t="shared" si="21"/>
        <v>2.331476280125095</v>
      </c>
      <c r="AM46" s="905">
        <f t="shared" si="21"/>
        <v>2.3373787517203484</v>
      </c>
      <c r="AN46" s="905">
        <f t="shared" si="21"/>
        <v>2.3432812233156017</v>
      </c>
    </row>
    <row r="47" spans="1:40" x14ac:dyDescent="0.25">
      <c r="B47" s="751" t="s">
        <v>839</v>
      </c>
      <c r="C47" s="2" t="s">
        <v>967</v>
      </c>
      <c r="D47" s="905"/>
      <c r="E47" s="905">
        <f t="shared" ref="E47:AN47" si="22">E31*E19</f>
        <v>0</v>
      </c>
      <c r="F47" s="905">
        <f t="shared" si="22"/>
        <v>0</v>
      </c>
      <c r="G47" s="905">
        <f t="shared" si="22"/>
        <v>0</v>
      </c>
      <c r="H47" s="905">
        <f t="shared" si="22"/>
        <v>0</v>
      </c>
      <c r="I47" s="905">
        <f t="shared" si="22"/>
        <v>0</v>
      </c>
      <c r="J47" s="905">
        <f t="shared" si="22"/>
        <v>0</v>
      </c>
      <c r="K47" s="905">
        <f t="shared" si="22"/>
        <v>0.55586986050572518</v>
      </c>
      <c r="L47" s="905">
        <f t="shared" si="22"/>
        <v>0.52790189785856323</v>
      </c>
      <c r="M47" s="905">
        <f t="shared" si="22"/>
        <v>0.4997741602597891</v>
      </c>
      <c r="N47" s="905">
        <f t="shared" si="22"/>
        <v>0.47148664770940274</v>
      </c>
      <c r="O47" s="905">
        <f t="shared" si="22"/>
        <v>0.44303936020740414</v>
      </c>
      <c r="P47" s="905">
        <f t="shared" si="22"/>
        <v>0.41443229775379348</v>
      </c>
      <c r="Q47" s="905">
        <f t="shared" si="22"/>
        <v>0.38566546034857052</v>
      </c>
      <c r="R47" s="905">
        <f t="shared" si="22"/>
        <v>0.35673884799173539</v>
      </c>
      <c r="S47" s="905">
        <f t="shared" si="22"/>
        <v>0.32765246068328807</v>
      </c>
      <c r="T47" s="905">
        <f t="shared" si="22"/>
        <v>0.29840629842322852</v>
      </c>
      <c r="U47" s="905">
        <f t="shared" si="22"/>
        <v>0.23880289535685262</v>
      </c>
      <c r="V47" s="905">
        <f t="shared" si="22"/>
        <v>0.23460203715895525</v>
      </c>
      <c r="W47" s="905">
        <f t="shared" si="22"/>
        <v>0.23037567705135173</v>
      </c>
      <c r="X47" s="905">
        <f t="shared" si="22"/>
        <v>0.22612381503404202</v>
      </c>
      <c r="Y47" s="905">
        <f t="shared" si="22"/>
        <v>0.22184645110702619</v>
      </c>
      <c r="Z47" s="905">
        <f t="shared" si="22"/>
        <v>0.21754358527030418</v>
      </c>
      <c r="AA47" s="905">
        <f t="shared" si="22"/>
        <v>0.21321521752387604</v>
      </c>
      <c r="AB47" s="905">
        <f t="shared" si="22"/>
        <v>0.20886134786774166</v>
      </c>
      <c r="AC47" s="905">
        <f t="shared" si="22"/>
        <v>0.20448197630190118</v>
      </c>
      <c r="AD47" s="905">
        <f t="shared" si="22"/>
        <v>0.20007710282635452</v>
      </c>
      <c r="AE47" s="905">
        <f t="shared" si="22"/>
        <v>0.1906993569581065</v>
      </c>
      <c r="AF47" s="905">
        <f t="shared" si="22"/>
        <v>0.19119085014614287</v>
      </c>
      <c r="AG47" s="905">
        <f t="shared" si="22"/>
        <v>0.19168234333417922</v>
      </c>
      <c r="AH47" s="905">
        <f t="shared" si="22"/>
        <v>0.19217383652221559</v>
      </c>
      <c r="AI47" s="905">
        <f t="shared" si="22"/>
        <v>0.19266532971025194</v>
      </c>
      <c r="AJ47" s="905">
        <f t="shared" si="22"/>
        <v>0.19315682289828828</v>
      </c>
      <c r="AK47" s="905">
        <f t="shared" si="22"/>
        <v>0.19364831608632463</v>
      </c>
      <c r="AL47" s="905">
        <f t="shared" si="22"/>
        <v>0.194139809274361</v>
      </c>
      <c r="AM47" s="905">
        <f t="shared" si="22"/>
        <v>0.19463130246239738</v>
      </c>
      <c r="AN47" s="905">
        <f t="shared" si="22"/>
        <v>0.19512279565043372</v>
      </c>
    </row>
    <row r="48" spans="1:40" x14ac:dyDescent="0.25">
      <c r="B48" s="751" t="s">
        <v>840</v>
      </c>
      <c r="C48" s="2" t="s">
        <v>967</v>
      </c>
      <c r="D48" s="905"/>
      <c r="E48" s="905">
        <f t="shared" ref="E48:AN48" si="23">E32*E20</f>
        <v>0</v>
      </c>
      <c r="F48" s="905">
        <f t="shared" si="23"/>
        <v>0</v>
      </c>
      <c r="G48" s="905">
        <f t="shared" si="23"/>
        <v>0</v>
      </c>
      <c r="H48" s="905">
        <f t="shared" si="23"/>
        <v>0</v>
      </c>
      <c r="I48" s="905">
        <f t="shared" si="23"/>
        <v>0</v>
      </c>
      <c r="J48" s="905">
        <f t="shared" si="23"/>
        <v>0</v>
      </c>
      <c r="K48" s="905">
        <f t="shared" si="23"/>
        <v>31.256202622589971</v>
      </c>
      <c r="L48" s="905">
        <f t="shared" si="23"/>
        <v>30.334808881064404</v>
      </c>
      <c r="M48" s="905">
        <f t="shared" si="23"/>
        <v>29.407960781410175</v>
      </c>
      <c r="N48" s="905">
        <f t="shared" si="23"/>
        <v>28.475658323627272</v>
      </c>
      <c r="O48" s="905">
        <f t="shared" si="23"/>
        <v>27.537901507715706</v>
      </c>
      <c r="P48" s="905">
        <f t="shared" si="23"/>
        <v>26.594690333675477</v>
      </c>
      <c r="Q48" s="905">
        <f t="shared" si="23"/>
        <v>25.64602480150657</v>
      </c>
      <c r="R48" s="905">
        <f t="shared" si="23"/>
        <v>24.691904911209004</v>
      </c>
      <c r="S48" s="905">
        <f t="shared" si="23"/>
        <v>23.732330662782765</v>
      </c>
      <c r="T48" s="905">
        <f t="shared" si="23"/>
        <v>22.767302056227866</v>
      </c>
      <c r="U48" s="905">
        <f t="shared" si="23"/>
        <v>20.765945405226166</v>
      </c>
      <c r="V48" s="905">
        <f t="shared" si="23"/>
        <v>20.652110781972514</v>
      </c>
      <c r="W48" s="905">
        <f t="shared" si="23"/>
        <v>20.537385546651528</v>
      </c>
      <c r="X48" s="905">
        <f t="shared" si="23"/>
        <v>20.421769699263209</v>
      </c>
      <c r="Y48" s="905">
        <f t="shared" si="23"/>
        <v>20.305263239807559</v>
      </c>
      <c r="Z48" s="905">
        <f t="shared" si="23"/>
        <v>20.187866168284579</v>
      </c>
      <c r="AA48" s="905">
        <f t="shared" si="23"/>
        <v>20.069578484694262</v>
      </c>
      <c r="AB48" s="905">
        <f t="shared" si="23"/>
        <v>19.950400189036614</v>
      </c>
      <c r="AC48" s="905">
        <f t="shared" si="23"/>
        <v>19.830331281311633</v>
      </c>
      <c r="AD48" s="905">
        <f t="shared" si="23"/>
        <v>19.709371761519321</v>
      </c>
      <c r="AE48" s="905">
        <f t="shared" si="23"/>
        <v>19.414742888597136</v>
      </c>
      <c r="AF48" s="905">
        <f t="shared" si="23"/>
        <v>19.464780885732697</v>
      </c>
      <c r="AG48" s="905">
        <f t="shared" si="23"/>
        <v>19.514818882868255</v>
      </c>
      <c r="AH48" s="905">
        <f t="shared" si="23"/>
        <v>19.564856880003816</v>
      </c>
      <c r="AI48" s="905">
        <f t="shared" si="23"/>
        <v>19.614894877139378</v>
      </c>
      <c r="AJ48" s="905">
        <f t="shared" si="23"/>
        <v>19.664932874274935</v>
      </c>
      <c r="AK48" s="905">
        <f t="shared" si="23"/>
        <v>19.714970871410497</v>
      </c>
      <c r="AL48" s="905">
        <f t="shared" si="23"/>
        <v>19.765008868546055</v>
      </c>
      <c r="AM48" s="905">
        <f t="shared" si="23"/>
        <v>19.815046865681616</v>
      </c>
      <c r="AN48" s="905">
        <f t="shared" si="23"/>
        <v>19.865084862817174</v>
      </c>
    </row>
    <row r="49" spans="2:40" x14ac:dyDescent="0.25">
      <c r="B49" s="751" t="s">
        <v>841</v>
      </c>
      <c r="C49" s="2" t="s">
        <v>967</v>
      </c>
      <c r="D49" s="905"/>
      <c r="E49" s="905">
        <f t="shared" ref="E49:AN49" si="24">E33*E21</f>
        <v>0</v>
      </c>
      <c r="F49" s="905">
        <f t="shared" si="24"/>
        <v>0</v>
      </c>
      <c r="G49" s="905">
        <f t="shared" si="24"/>
        <v>0</v>
      </c>
      <c r="H49" s="905">
        <f t="shared" si="24"/>
        <v>0</v>
      </c>
      <c r="I49" s="905">
        <f t="shared" si="24"/>
        <v>0</v>
      </c>
      <c r="J49" s="905">
        <f t="shared" si="24"/>
        <v>0</v>
      </c>
      <c r="K49" s="905">
        <f t="shared" si="24"/>
        <v>2.7643640380833316</v>
      </c>
      <c r="L49" s="905">
        <f t="shared" si="24"/>
        <v>2.7147574520545295</v>
      </c>
      <c r="M49" s="905">
        <f t="shared" si="24"/>
        <v>2.664841280958909</v>
      </c>
      <c r="N49" s="905">
        <f t="shared" si="24"/>
        <v>2.61461552479647</v>
      </c>
      <c r="O49" s="905">
        <f t="shared" si="24"/>
        <v>2.5640801835672127</v>
      </c>
      <c r="P49" s="905">
        <f t="shared" si="24"/>
        <v>2.5132352572711376</v>
      </c>
      <c r="Q49" s="905">
        <f t="shared" si="24"/>
        <v>2.4620807459082448</v>
      </c>
      <c r="R49" s="905">
        <f t="shared" si="24"/>
        <v>2.4106166494785333</v>
      </c>
      <c r="S49" s="905">
        <f t="shared" si="24"/>
        <v>2.3588429679820035</v>
      </c>
      <c r="T49" s="905">
        <f t="shared" si="24"/>
        <v>2.3067597014186565</v>
      </c>
      <c r="U49" s="905">
        <f t="shared" si="24"/>
        <v>2.1958552721598652</v>
      </c>
      <c r="V49" s="905">
        <f t="shared" si="24"/>
        <v>2.1935744915519075</v>
      </c>
      <c r="W49" s="905">
        <f t="shared" si="24"/>
        <v>2.191251020065113</v>
      </c>
      <c r="X49" s="905">
        <f t="shared" si="24"/>
        <v>2.188884857699481</v>
      </c>
      <c r="Y49" s="905">
        <f t="shared" si="24"/>
        <v>2.1864760044550122</v>
      </c>
      <c r="Z49" s="905">
        <f t="shared" si="24"/>
        <v>2.1840244603317069</v>
      </c>
      <c r="AA49" s="905">
        <f t="shared" si="24"/>
        <v>2.1815302253295643</v>
      </c>
      <c r="AB49" s="905">
        <f t="shared" si="24"/>
        <v>2.1789932994485848</v>
      </c>
      <c r="AC49" s="905">
        <f t="shared" si="24"/>
        <v>2.1764136826887688</v>
      </c>
      <c r="AD49" s="905">
        <f t="shared" si="24"/>
        <v>2.1737913750501159</v>
      </c>
      <c r="AE49" s="905">
        <f t="shared" si="24"/>
        <v>2.1628443460382605</v>
      </c>
      <c r="AF49" s="905">
        <f t="shared" si="24"/>
        <v>2.1684186871362972</v>
      </c>
      <c r="AG49" s="905">
        <f t="shared" si="24"/>
        <v>2.1739930282343338</v>
      </c>
      <c r="AH49" s="905">
        <f t="shared" si="24"/>
        <v>2.1795673693323709</v>
      </c>
      <c r="AI49" s="905">
        <f t="shared" si="24"/>
        <v>2.1851417104304076</v>
      </c>
      <c r="AJ49" s="905">
        <f t="shared" si="24"/>
        <v>2.1907160515284443</v>
      </c>
      <c r="AK49" s="905">
        <f t="shared" si="24"/>
        <v>2.196290392626481</v>
      </c>
      <c r="AL49" s="905">
        <f t="shared" si="24"/>
        <v>2.2018647337245176</v>
      </c>
      <c r="AM49" s="905">
        <f t="shared" si="24"/>
        <v>2.2074390748225543</v>
      </c>
      <c r="AN49" s="905">
        <f t="shared" si="24"/>
        <v>2.213013415920591</v>
      </c>
    </row>
    <row r="50" spans="2:40" x14ac:dyDescent="0.25">
      <c r="B50" s="752" t="s">
        <v>842</v>
      </c>
      <c r="C50" s="749" t="s">
        <v>967</v>
      </c>
      <c r="D50" s="796"/>
      <c r="E50" s="796">
        <f t="shared" ref="E50:AN50" si="25">E34*E22</f>
        <v>0</v>
      </c>
      <c r="F50" s="796">
        <f t="shared" si="25"/>
        <v>0</v>
      </c>
      <c r="G50" s="796">
        <f t="shared" si="25"/>
        <v>0</v>
      </c>
      <c r="H50" s="796">
        <f t="shared" si="25"/>
        <v>0</v>
      </c>
      <c r="I50" s="796">
        <f t="shared" si="25"/>
        <v>0</v>
      </c>
      <c r="J50" s="796">
        <f t="shared" si="25"/>
        <v>0</v>
      </c>
      <c r="K50" s="796">
        <f t="shared" si="25"/>
        <v>7.6995453033899643</v>
      </c>
      <c r="L50" s="796">
        <f t="shared" si="25"/>
        <v>7.5591060452778374</v>
      </c>
      <c r="M50" s="796">
        <f t="shared" si="25"/>
        <v>7.4177921967290361</v>
      </c>
      <c r="N50" s="796">
        <f t="shared" si="25"/>
        <v>7.2756037577435553</v>
      </c>
      <c r="O50" s="796">
        <f t="shared" si="25"/>
        <v>7.1325407283213966</v>
      </c>
      <c r="P50" s="796">
        <f t="shared" si="25"/>
        <v>6.9886031084625611</v>
      </c>
      <c r="Q50" s="796">
        <f t="shared" si="25"/>
        <v>8.2125490778007695</v>
      </c>
      <c r="R50" s="796">
        <f t="shared" si="25"/>
        <v>9.3773457364090298</v>
      </c>
      <c r="S50" s="796">
        <f t="shared" si="25"/>
        <v>10.482468330025734</v>
      </c>
      <c r="T50" s="796">
        <f t="shared" si="25"/>
        <v>11.527392104388873</v>
      </c>
      <c r="U50" s="796">
        <f t="shared" si="25"/>
        <v>12.180997120172369</v>
      </c>
      <c r="V50" s="796">
        <f t="shared" si="25"/>
        <v>12.164622926643119</v>
      </c>
      <c r="W50" s="796">
        <f t="shared" si="25"/>
        <v>12.147992273727928</v>
      </c>
      <c r="X50" s="796">
        <f t="shared" si="25"/>
        <v>12.131105161426797</v>
      </c>
      <c r="Y50" s="796">
        <f t="shared" si="25"/>
        <v>12.113961589739727</v>
      </c>
      <c r="Z50" s="796">
        <f t="shared" si="25"/>
        <v>12.096561558666718</v>
      </c>
      <c r="AA50" s="796">
        <f t="shared" si="25"/>
        <v>12.078905068207771</v>
      </c>
      <c r="AB50" s="796">
        <f t="shared" si="25"/>
        <v>12.060992118362881</v>
      </c>
      <c r="AC50" s="796">
        <f t="shared" si="25"/>
        <v>12.042822709132055</v>
      </c>
      <c r="AD50" s="796">
        <f t="shared" si="25"/>
        <v>12.024396840515287</v>
      </c>
      <c r="AE50" s="796">
        <f t="shared" si="25"/>
        <v>11.955961391640324</v>
      </c>
      <c r="AF50" s="796">
        <f t="shared" si="25"/>
        <v>11.986775725123932</v>
      </c>
      <c r="AG50" s="796">
        <f t="shared" si="25"/>
        <v>12.017590058607542</v>
      </c>
      <c r="AH50" s="796">
        <f t="shared" si="25"/>
        <v>12.048404392091152</v>
      </c>
      <c r="AI50" s="796">
        <f t="shared" si="25"/>
        <v>12.07921872557476</v>
      </c>
      <c r="AJ50" s="796">
        <f t="shared" si="25"/>
        <v>12.11003305905837</v>
      </c>
      <c r="AK50" s="796">
        <f t="shared" si="25"/>
        <v>12.140847392541978</v>
      </c>
      <c r="AL50" s="796">
        <f t="shared" si="25"/>
        <v>12.171661726025587</v>
      </c>
      <c r="AM50" s="796">
        <f t="shared" si="25"/>
        <v>12.202476059509198</v>
      </c>
      <c r="AN50" s="796">
        <f t="shared" si="25"/>
        <v>0</v>
      </c>
    </row>
    <row r="51" spans="2:40" s="1" customFormat="1" x14ac:dyDescent="0.25">
      <c r="B51" s="644" t="s">
        <v>393</v>
      </c>
      <c r="C51" s="1041" t="s">
        <v>967</v>
      </c>
      <c r="D51" s="820"/>
      <c r="E51" s="820">
        <f>SUM(E46:E50)</f>
        <v>0</v>
      </c>
      <c r="F51" s="820">
        <f t="shared" ref="F51:AM51" si="26">SUM(F46:F50)</f>
        <v>0</v>
      </c>
      <c r="G51" s="820">
        <f t="shared" si="26"/>
        <v>0</v>
      </c>
      <c r="H51" s="820">
        <f t="shared" si="26"/>
        <v>0</v>
      </c>
      <c r="I51" s="820">
        <f t="shared" si="26"/>
        <v>0</v>
      </c>
      <c r="J51" s="820">
        <f t="shared" si="26"/>
        <v>0</v>
      </c>
      <c r="K51" s="820">
        <f t="shared" si="26"/>
        <v>53.133984916103742</v>
      </c>
      <c r="L51" s="820">
        <f t="shared" si="26"/>
        <v>51.331167007978074</v>
      </c>
      <c r="M51" s="820">
        <f t="shared" si="26"/>
        <v>49.517795150059989</v>
      </c>
      <c r="N51" s="820">
        <f t="shared" si="26"/>
        <v>47.693869342349458</v>
      </c>
      <c r="O51" s="820">
        <f t="shared" si="26"/>
        <v>45.859389584846518</v>
      </c>
      <c r="P51" s="820">
        <f t="shared" si="26"/>
        <v>44.014355877551161</v>
      </c>
      <c r="Q51" s="820">
        <f t="shared" si="26"/>
        <v>43.527526400097088</v>
      </c>
      <c r="R51" s="820">
        <f t="shared" si="26"/>
        <v>42.971868252557329</v>
      </c>
      <c r="S51" s="820">
        <f t="shared" si="26"/>
        <v>42.346856680670271</v>
      </c>
      <c r="T51" s="820">
        <f t="shared" si="26"/>
        <v>41.651966930173906</v>
      </c>
      <c r="U51" s="820">
        <f t="shared" si="26"/>
        <v>38.726680143506236</v>
      </c>
      <c r="V51" s="820">
        <f t="shared" si="26"/>
        <v>38.49730345604199</v>
      </c>
      <c r="W51" s="820">
        <f t="shared" si="26"/>
        <v>38.266175696164893</v>
      </c>
      <c r="X51" s="820">
        <f t="shared" si="26"/>
        <v>38.033296863874938</v>
      </c>
      <c r="Y51" s="820">
        <f t="shared" si="26"/>
        <v>37.798666959172131</v>
      </c>
      <c r="Z51" s="820">
        <f t="shared" si="26"/>
        <v>37.56228598205648</v>
      </c>
      <c r="AA51" s="820">
        <f t="shared" si="26"/>
        <v>37.324153932527963</v>
      </c>
      <c r="AB51" s="820">
        <f t="shared" si="26"/>
        <v>37.084270810586602</v>
      </c>
      <c r="AC51" s="820">
        <f t="shared" si="26"/>
        <v>36.84263661623239</v>
      </c>
      <c r="AD51" s="820">
        <f t="shared" si="26"/>
        <v>36.599251349465334</v>
      </c>
      <c r="AE51" s="820">
        <f t="shared" si="26"/>
        <v>36.014406962192147</v>
      </c>
      <c r="AF51" s="820">
        <f t="shared" si="26"/>
        <v>36.107227598692646</v>
      </c>
      <c r="AG51" s="820">
        <f t="shared" si="26"/>
        <v>36.200048235193137</v>
      </c>
      <c r="AH51" s="820">
        <f t="shared" si="26"/>
        <v>36.292868871693635</v>
      </c>
      <c r="AI51" s="820">
        <f t="shared" si="26"/>
        <v>36.385689508194133</v>
      </c>
      <c r="AJ51" s="820">
        <f t="shared" si="26"/>
        <v>36.478510144694624</v>
      </c>
      <c r="AK51" s="820">
        <f t="shared" si="26"/>
        <v>36.571330781195122</v>
      </c>
      <c r="AL51" s="820">
        <f t="shared" si="26"/>
        <v>36.664151417695614</v>
      </c>
      <c r="AM51" s="820">
        <f t="shared" si="26"/>
        <v>36.756972054196112</v>
      </c>
      <c r="AN51" s="820">
        <f t="shared" ref="AN51" si="27">SUM(AN46:AN50)</f>
        <v>24.6165022977038</v>
      </c>
    </row>
    <row r="53" spans="2:40" x14ac:dyDescent="0.25">
      <c r="B53" s="824" t="s">
        <v>844</v>
      </c>
    </row>
    <row r="54" spans="2:40" x14ac:dyDescent="0.25">
      <c r="B54" s="751" t="s">
        <v>838</v>
      </c>
      <c r="C54" s="2" t="s">
        <v>967</v>
      </c>
      <c r="D54" s="905"/>
      <c r="E54" s="905">
        <f t="shared" ref="E54:AN54" si="28">E38*E18</f>
        <v>0</v>
      </c>
      <c r="F54" s="905">
        <f t="shared" si="28"/>
        <v>0</v>
      </c>
      <c r="G54" s="905">
        <f t="shared" si="28"/>
        <v>0</v>
      </c>
      <c r="H54" s="905">
        <f t="shared" si="28"/>
        <v>0</v>
      </c>
      <c r="I54" s="905">
        <f t="shared" si="28"/>
        <v>0</v>
      </c>
      <c r="J54" s="905">
        <f t="shared" si="28"/>
        <v>0</v>
      </c>
      <c r="K54" s="905">
        <f t="shared" si="28"/>
        <v>5.4807742138690854</v>
      </c>
      <c r="L54" s="905">
        <f t="shared" si="28"/>
        <v>5.2934893734455111</v>
      </c>
      <c r="M54" s="905">
        <f t="shared" si="28"/>
        <v>5.1051087159562814</v>
      </c>
      <c r="N54" s="905">
        <f t="shared" si="28"/>
        <v>4.9156322414013953</v>
      </c>
      <c r="O54" s="905">
        <f t="shared" si="28"/>
        <v>4.7250599497808548</v>
      </c>
      <c r="P54" s="905">
        <f t="shared" si="28"/>
        <v>4.5333918410946588</v>
      </c>
      <c r="Q54" s="905">
        <f t="shared" si="28"/>
        <v>4.3406279153428065</v>
      </c>
      <c r="R54" s="905">
        <f t="shared" si="28"/>
        <v>4.1467681725252996</v>
      </c>
      <c r="S54" s="905">
        <f t="shared" si="28"/>
        <v>3.9518126126421365</v>
      </c>
      <c r="T54" s="905">
        <f t="shared" si="28"/>
        <v>3.7557612356933174</v>
      </c>
      <c r="U54" s="905">
        <f t="shared" si="28"/>
        <v>3.351504616269958</v>
      </c>
      <c r="V54" s="905">
        <f t="shared" si="28"/>
        <v>3.3492177009210038</v>
      </c>
      <c r="W54" s="905">
        <f t="shared" si="28"/>
        <v>3.3468719289510589</v>
      </c>
      <c r="X54" s="905">
        <f t="shared" si="28"/>
        <v>3.3444673003601233</v>
      </c>
      <c r="Y54" s="905">
        <f t="shared" si="28"/>
        <v>3.3420038151481974</v>
      </c>
      <c r="Z54" s="905">
        <f t="shared" si="28"/>
        <v>3.3394814733152813</v>
      </c>
      <c r="AA54" s="905">
        <f t="shared" si="28"/>
        <v>3.3369002748613741</v>
      </c>
      <c r="AB54" s="905">
        <f t="shared" si="28"/>
        <v>3.3342602197864761</v>
      </c>
      <c r="AC54" s="905">
        <f t="shared" si="28"/>
        <v>3.3315613080905879</v>
      </c>
      <c r="AD54" s="905">
        <f t="shared" si="28"/>
        <v>3.328803539773709</v>
      </c>
      <c r="AE54" s="905">
        <f t="shared" si="28"/>
        <v>3.3145687303636708</v>
      </c>
      <c r="AF54" s="905">
        <f t="shared" si="28"/>
        <v>3.3231114332769796</v>
      </c>
      <c r="AG54" s="905">
        <f t="shared" si="28"/>
        <v>3.3316541361902878</v>
      </c>
      <c r="AH54" s="905">
        <f t="shared" si="28"/>
        <v>3.3401968391035961</v>
      </c>
      <c r="AI54" s="905">
        <f t="shared" si="28"/>
        <v>3.3487395420169048</v>
      </c>
      <c r="AJ54" s="905">
        <f t="shared" si="28"/>
        <v>3.3572822449302131</v>
      </c>
      <c r="AK54" s="905">
        <f t="shared" si="28"/>
        <v>3.3658249478435214</v>
      </c>
      <c r="AL54" s="905">
        <f t="shared" si="28"/>
        <v>3.3743676507568301</v>
      </c>
      <c r="AM54" s="905">
        <f t="shared" si="28"/>
        <v>3.3829103536701384</v>
      </c>
      <c r="AN54" s="905">
        <f t="shared" si="28"/>
        <v>3.3914530565834466</v>
      </c>
    </row>
    <row r="55" spans="2:40" x14ac:dyDescent="0.25">
      <c r="B55" s="751" t="s">
        <v>839</v>
      </c>
      <c r="C55" s="2" t="s">
        <v>967</v>
      </c>
      <c r="D55" s="905"/>
      <c r="E55" s="905">
        <f t="shared" ref="E55:AN55" si="29">E39*E19</f>
        <v>0</v>
      </c>
      <c r="F55" s="905">
        <f t="shared" si="29"/>
        <v>0</v>
      </c>
      <c r="G55" s="905">
        <f t="shared" si="29"/>
        <v>0</v>
      </c>
      <c r="H55" s="905">
        <f t="shared" si="29"/>
        <v>0</v>
      </c>
      <c r="I55" s="905">
        <f t="shared" si="29"/>
        <v>0</v>
      </c>
      <c r="J55" s="905">
        <f t="shared" si="29"/>
        <v>0</v>
      </c>
      <c r="K55" s="905">
        <f t="shared" si="29"/>
        <v>8.4887221623577869E-2</v>
      </c>
      <c r="L55" s="905">
        <f t="shared" si="29"/>
        <v>8.1089221069178971E-2</v>
      </c>
      <c r="M55" s="905">
        <f t="shared" si="29"/>
        <v>7.7269384892274459E-2</v>
      </c>
      <c r="N55" s="905">
        <f t="shared" si="29"/>
        <v>7.3427713092864305E-2</v>
      </c>
      <c r="O55" s="905">
        <f t="shared" si="29"/>
        <v>6.9564205670948523E-2</v>
      </c>
      <c r="P55" s="905">
        <f t="shared" si="29"/>
        <v>6.5678862626527099E-2</v>
      </c>
      <c r="Q55" s="905">
        <f t="shared" si="29"/>
        <v>6.1771683959600046E-2</v>
      </c>
      <c r="R55" s="905">
        <f t="shared" si="29"/>
        <v>5.7842669670167365E-2</v>
      </c>
      <c r="S55" s="905">
        <f t="shared" si="29"/>
        <v>5.3891819758229063E-2</v>
      </c>
      <c r="T55" s="905">
        <f t="shared" si="29"/>
        <v>4.9919134223785119E-2</v>
      </c>
      <c r="U55" s="905">
        <f t="shared" si="29"/>
        <v>4.1797680413271129E-2</v>
      </c>
      <c r="V55" s="905">
        <f t="shared" si="29"/>
        <v>4.1766085840975326E-2</v>
      </c>
      <c r="W55" s="905">
        <f t="shared" si="29"/>
        <v>4.1733741028856811E-2</v>
      </c>
      <c r="X55" s="905">
        <f t="shared" si="29"/>
        <v>4.1700645976915571E-2</v>
      </c>
      <c r="Y55" s="905">
        <f t="shared" si="29"/>
        <v>4.166680068515162E-2</v>
      </c>
      <c r="Z55" s="905">
        <f t="shared" si="29"/>
        <v>4.1632205153564944E-2</v>
      </c>
      <c r="AA55" s="905">
        <f t="shared" si="29"/>
        <v>4.1596859382155557E-2</v>
      </c>
      <c r="AB55" s="905">
        <f t="shared" si="29"/>
        <v>4.1560763370923445E-2</v>
      </c>
      <c r="AC55" s="905">
        <f t="shared" si="29"/>
        <v>4.1523917119868629E-2</v>
      </c>
      <c r="AD55" s="905">
        <f t="shared" si="29"/>
        <v>4.1486320628991095E-2</v>
      </c>
      <c r="AE55" s="905">
        <f t="shared" si="29"/>
        <v>4.130242737268363E-2</v>
      </c>
      <c r="AF55" s="905">
        <f t="shared" si="29"/>
        <v>4.140887692776786E-2</v>
      </c>
      <c r="AG55" s="905">
        <f t="shared" si="29"/>
        <v>4.1515326482852097E-2</v>
      </c>
      <c r="AH55" s="905">
        <f t="shared" si="29"/>
        <v>4.1621776037936341E-2</v>
      </c>
      <c r="AI55" s="905">
        <f t="shared" si="29"/>
        <v>4.1728225593020571E-2</v>
      </c>
      <c r="AJ55" s="905">
        <f t="shared" si="29"/>
        <v>4.1834675148104808E-2</v>
      </c>
      <c r="AK55" s="905">
        <f t="shared" si="29"/>
        <v>4.1941124703189045E-2</v>
      </c>
      <c r="AL55" s="905">
        <f t="shared" si="29"/>
        <v>4.2047574258273282E-2</v>
      </c>
      <c r="AM55" s="905">
        <f t="shared" si="29"/>
        <v>4.2154023813357519E-2</v>
      </c>
      <c r="AN55" s="905">
        <f t="shared" si="29"/>
        <v>4.2260473368441756E-2</v>
      </c>
    </row>
    <row r="56" spans="2:40" x14ac:dyDescent="0.25">
      <c r="B56" s="751" t="s">
        <v>840</v>
      </c>
      <c r="C56" s="2" t="s">
        <v>967</v>
      </c>
      <c r="D56" s="905"/>
      <c r="E56" s="905">
        <f t="shared" ref="E56:AN56" si="30">E40*E20</f>
        <v>0</v>
      </c>
      <c r="F56" s="905">
        <f t="shared" si="30"/>
        <v>0</v>
      </c>
      <c r="G56" s="905">
        <f t="shared" si="30"/>
        <v>0</v>
      </c>
      <c r="H56" s="905">
        <f t="shared" si="30"/>
        <v>0</v>
      </c>
      <c r="I56" s="905">
        <f t="shared" si="30"/>
        <v>0</v>
      </c>
      <c r="J56" s="905">
        <f t="shared" si="30"/>
        <v>0</v>
      </c>
      <c r="K56" s="905">
        <f t="shared" si="30"/>
        <v>9.9558629402164573</v>
      </c>
      <c r="L56" s="905">
        <f t="shared" si="30"/>
        <v>9.4041393822917687</v>
      </c>
      <c r="M56" s="905">
        <f t="shared" si="30"/>
        <v>8.8492788187665106</v>
      </c>
      <c r="N56" s="905">
        <f t="shared" si="30"/>
        <v>8.2912812496406758</v>
      </c>
      <c r="O56" s="905">
        <f t="shared" si="30"/>
        <v>7.7301466749142689</v>
      </c>
      <c r="P56" s="905">
        <f t="shared" si="30"/>
        <v>7.1658750945872889</v>
      </c>
      <c r="Q56" s="905">
        <f t="shared" si="30"/>
        <v>6.5984665086597367</v>
      </c>
      <c r="R56" s="905">
        <f t="shared" si="30"/>
        <v>6.0279209171316124</v>
      </c>
      <c r="S56" s="905">
        <f t="shared" si="30"/>
        <v>5.4542383200029141</v>
      </c>
      <c r="T56" s="905">
        <f t="shared" si="30"/>
        <v>4.8774187172736427</v>
      </c>
      <c r="U56" s="905">
        <f t="shared" si="30"/>
        <v>3.7045680504355132</v>
      </c>
      <c r="V56" s="905">
        <f t="shared" si="30"/>
        <v>3.6927605490141429</v>
      </c>
      <c r="W56" s="905">
        <f t="shared" si="30"/>
        <v>3.6808390214925124</v>
      </c>
      <c r="X56" s="905">
        <f t="shared" si="30"/>
        <v>3.6688034678706227</v>
      </c>
      <c r="Y56" s="905">
        <f t="shared" si="30"/>
        <v>3.656653888148472</v>
      </c>
      <c r="Z56" s="905">
        <f t="shared" si="30"/>
        <v>3.644390282326063</v>
      </c>
      <c r="AA56" s="905">
        <f t="shared" si="30"/>
        <v>3.6320126504033934</v>
      </c>
      <c r="AB56" s="905">
        <f t="shared" si="30"/>
        <v>3.6195209923804641</v>
      </c>
      <c r="AC56" s="905">
        <f t="shared" si="30"/>
        <v>3.6069153082572751</v>
      </c>
      <c r="AD56" s="905">
        <f t="shared" si="30"/>
        <v>3.594195598033826</v>
      </c>
      <c r="AE56" s="905">
        <f t="shared" si="30"/>
        <v>3.5592407982597036</v>
      </c>
      <c r="AF56" s="905">
        <f t="shared" si="30"/>
        <v>3.5684140992861462</v>
      </c>
      <c r="AG56" s="905">
        <f t="shared" si="30"/>
        <v>3.5775874003125887</v>
      </c>
      <c r="AH56" s="905">
        <f t="shared" si="30"/>
        <v>3.5867607013390312</v>
      </c>
      <c r="AI56" s="905">
        <f t="shared" si="30"/>
        <v>3.5959340023654738</v>
      </c>
      <c r="AJ56" s="905">
        <f t="shared" si="30"/>
        <v>3.6051073033919168</v>
      </c>
      <c r="AK56" s="905">
        <f t="shared" si="30"/>
        <v>3.6142806044183593</v>
      </c>
      <c r="AL56" s="905">
        <f t="shared" si="30"/>
        <v>3.6234539054448009</v>
      </c>
      <c r="AM56" s="905">
        <f t="shared" si="30"/>
        <v>3.6326272064712439</v>
      </c>
      <c r="AN56" s="905">
        <f t="shared" si="30"/>
        <v>3.6418005074976865</v>
      </c>
    </row>
    <row r="57" spans="2:40" x14ac:dyDescent="0.25">
      <c r="B57" s="751" t="s">
        <v>841</v>
      </c>
      <c r="C57" s="2" t="s">
        <v>967</v>
      </c>
      <c r="D57" s="905"/>
      <c r="E57" s="905">
        <f t="shared" ref="E57:AN57" si="31">E41*E21</f>
        <v>0</v>
      </c>
      <c r="F57" s="905">
        <f t="shared" si="31"/>
        <v>0</v>
      </c>
      <c r="G57" s="905">
        <f t="shared" si="31"/>
        <v>0</v>
      </c>
      <c r="H57" s="905">
        <f t="shared" si="31"/>
        <v>0</v>
      </c>
      <c r="I57" s="905">
        <f t="shared" si="31"/>
        <v>0</v>
      </c>
      <c r="J57" s="905">
        <f t="shared" si="31"/>
        <v>0</v>
      </c>
      <c r="K57" s="905">
        <f t="shared" si="31"/>
        <v>0.20233211654693814</v>
      </c>
      <c r="L57" s="905">
        <f t="shared" si="31"/>
        <v>0.20243353781370968</v>
      </c>
      <c r="M57" s="905">
        <f t="shared" si="31"/>
        <v>0.20253252875924907</v>
      </c>
      <c r="N57" s="905">
        <f t="shared" si="31"/>
        <v>0.20262908938355639</v>
      </c>
      <c r="O57" s="905">
        <f t="shared" si="31"/>
        <v>0.20272321968663159</v>
      </c>
      <c r="P57" s="905">
        <f t="shared" si="31"/>
        <v>0.2028149196684747</v>
      </c>
      <c r="Q57" s="905">
        <f t="shared" si="31"/>
        <v>0.20290418932908569</v>
      </c>
      <c r="R57" s="905">
        <f t="shared" si="31"/>
        <v>0.20299102866846458</v>
      </c>
      <c r="S57" s="905">
        <f t="shared" si="31"/>
        <v>0.20307543768661135</v>
      </c>
      <c r="T57" s="905">
        <f t="shared" si="31"/>
        <v>0.20315741638352602</v>
      </c>
      <c r="U57" s="905">
        <f t="shared" si="31"/>
        <v>0.20277763404634075</v>
      </c>
      <c r="V57" s="905">
        <f t="shared" si="31"/>
        <v>0.20326427323034732</v>
      </c>
      <c r="W57" s="905">
        <f t="shared" si="31"/>
        <v>0.20375064956694852</v>
      </c>
      <c r="X57" s="905">
        <f t="shared" si="31"/>
        <v>0.20423676305614435</v>
      </c>
      <c r="Y57" s="905">
        <f t="shared" si="31"/>
        <v>0.20472261369793487</v>
      </c>
      <c r="Z57" s="905">
        <f t="shared" si="31"/>
        <v>0.20520820149232005</v>
      </c>
      <c r="AA57" s="905">
        <f t="shared" si="31"/>
        <v>0.20569352643929989</v>
      </c>
      <c r="AB57" s="905">
        <f t="shared" si="31"/>
        <v>0.20617858853887441</v>
      </c>
      <c r="AC57" s="905">
        <f t="shared" si="31"/>
        <v>0.20666338779104354</v>
      </c>
      <c r="AD57" s="905">
        <f t="shared" si="31"/>
        <v>0.20714792419580735</v>
      </c>
      <c r="AE57" s="905">
        <f t="shared" si="31"/>
        <v>0.20758120535652996</v>
      </c>
      <c r="AF57" s="905">
        <f t="shared" si="31"/>
        <v>0.20811620846311893</v>
      </c>
      <c r="AG57" s="905">
        <f t="shared" si="31"/>
        <v>0.20865121156970795</v>
      </c>
      <c r="AH57" s="905">
        <f t="shared" si="31"/>
        <v>0.20918621467629697</v>
      </c>
      <c r="AI57" s="905">
        <f t="shared" si="31"/>
        <v>0.20972121778288594</v>
      </c>
      <c r="AJ57" s="905">
        <f t="shared" si="31"/>
        <v>0.21025622088947496</v>
      </c>
      <c r="AK57" s="905">
        <f t="shared" si="31"/>
        <v>0.21079122399606393</v>
      </c>
      <c r="AL57" s="905">
        <f t="shared" si="31"/>
        <v>0.21132622710265292</v>
      </c>
      <c r="AM57" s="905">
        <f t="shared" si="31"/>
        <v>0.21186123020924194</v>
      </c>
      <c r="AN57" s="905">
        <f t="shared" si="31"/>
        <v>0.21239623331583091</v>
      </c>
    </row>
    <row r="58" spans="2:40" x14ac:dyDescent="0.25">
      <c r="B58" s="752" t="s">
        <v>842</v>
      </c>
      <c r="C58" s="749" t="s">
        <v>967</v>
      </c>
      <c r="D58" s="796"/>
      <c r="E58" s="796">
        <f t="shared" ref="E58:AN58" si="32">E42*E22</f>
        <v>0</v>
      </c>
      <c r="F58" s="796">
        <f t="shared" si="32"/>
        <v>0</v>
      </c>
      <c r="G58" s="796">
        <f t="shared" si="32"/>
        <v>0</v>
      </c>
      <c r="H58" s="796">
        <f t="shared" si="32"/>
        <v>0</v>
      </c>
      <c r="I58" s="796">
        <f t="shared" si="32"/>
        <v>0</v>
      </c>
      <c r="J58" s="796">
        <f t="shared" si="32"/>
        <v>0</v>
      </c>
      <c r="K58" s="796">
        <f t="shared" si="32"/>
        <v>0.44796657270086016</v>
      </c>
      <c r="L58" s="796">
        <f t="shared" si="32"/>
        <v>0.44838467112544528</v>
      </c>
      <c r="M58" s="796">
        <f t="shared" si="32"/>
        <v>0.44879843783163087</v>
      </c>
      <c r="N58" s="796">
        <f t="shared" si="32"/>
        <v>0.44920787281941699</v>
      </c>
      <c r="O58" s="796">
        <f t="shared" si="32"/>
        <v>0.44961297608880352</v>
      </c>
      <c r="P58" s="796">
        <f t="shared" si="32"/>
        <v>0.45001374763979063</v>
      </c>
      <c r="Q58" s="796">
        <f t="shared" si="32"/>
        <v>0.54049222496687432</v>
      </c>
      <c r="R58" s="796">
        <f t="shared" si="32"/>
        <v>0.63112321382120806</v>
      </c>
      <c r="S58" s="796">
        <f t="shared" si="32"/>
        <v>0.72190411517177766</v>
      </c>
      <c r="T58" s="796">
        <f t="shared" si="32"/>
        <v>0.81283232998754373</v>
      </c>
      <c r="U58" s="796">
        <f t="shared" si="32"/>
        <v>0.90226786968244976</v>
      </c>
      <c r="V58" s="796">
        <f t="shared" si="32"/>
        <v>0.9044492738681269</v>
      </c>
      <c r="W58" s="796">
        <f t="shared" si="32"/>
        <v>0.90662959336857718</v>
      </c>
      <c r="X58" s="796">
        <f t="shared" si="32"/>
        <v>0.90880882818380027</v>
      </c>
      <c r="Y58" s="796">
        <f t="shared" si="32"/>
        <v>0.91098697831379638</v>
      </c>
      <c r="Z58" s="796">
        <f t="shared" si="32"/>
        <v>0.91316404375856552</v>
      </c>
      <c r="AA58" s="796">
        <f t="shared" si="32"/>
        <v>0.9153400245181077</v>
      </c>
      <c r="AB58" s="796">
        <f t="shared" si="32"/>
        <v>0.91751492059242279</v>
      </c>
      <c r="AC58" s="796">
        <f t="shared" si="32"/>
        <v>0.91968873198151102</v>
      </c>
      <c r="AD58" s="796">
        <f t="shared" si="32"/>
        <v>0.92186145868537195</v>
      </c>
      <c r="AE58" s="796">
        <f t="shared" si="32"/>
        <v>0.92382267176996458</v>
      </c>
      <c r="AF58" s="796">
        <f t="shared" si="32"/>
        <v>0.92620365803741278</v>
      </c>
      <c r="AG58" s="796">
        <f t="shared" si="32"/>
        <v>0.9285846443048611</v>
      </c>
      <c r="AH58" s="796">
        <f t="shared" si="32"/>
        <v>0.93096563057230952</v>
      </c>
      <c r="AI58" s="796">
        <f t="shared" si="32"/>
        <v>0.93334661683975784</v>
      </c>
      <c r="AJ58" s="796">
        <f t="shared" si="32"/>
        <v>0.93572760310720637</v>
      </c>
      <c r="AK58" s="796">
        <f t="shared" si="32"/>
        <v>0.93810858937465458</v>
      </c>
      <c r="AL58" s="796">
        <f t="shared" si="32"/>
        <v>0.94048957564210311</v>
      </c>
      <c r="AM58" s="796">
        <f t="shared" si="32"/>
        <v>0.94287056190955132</v>
      </c>
      <c r="AN58" s="796">
        <f t="shared" si="32"/>
        <v>0</v>
      </c>
    </row>
    <row r="59" spans="2:40" s="1" customFormat="1" x14ac:dyDescent="0.25">
      <c r="B59" s="644" t="s">
        <v>393</v>
      </c>
      <c r="C59" s="1041" t="s">
        <v>967</v>
      </c>
      <c r="D59" s="820"/>
      <c r="E59" s="820">
        <f>SUM(E54:E58)</f>
        <v>0</v>
      </c>
      <c r="F59" s="820">
        <f t="shared" ref="F59:AM59" si="33">SUM(F54:F58)</f>
        <v>0</v>
      </c>
      <c r="G59" s="820">
        <f t="shared" si="33"/>
        <v>0</v>
      </c>
      <c r="H59" s="820">
        <f t="shared" si="33"/>
        <v>0</v>
      </c>
      <c r="I59" s="820">
        <f t="shared" si="33"/>
        <v>0</v>
      </c>
      <c r="J59" s="820">
        <f t="shared" si="33"/>
        <v>0</v>
      </c>
      <c r="K59" s="820">
        <f t="shared" si="33"/>
        <v>16.171823064956918</v>
      </c>
      <c r="L59" s="820">
        <f t="shared" si="33"/>
        <v>15.429536185745613</v>
      </c>
      <c r="M59" s="820">
        <f t="shared" si="33"/>
        <v>14.682987886205947</v>
      </c>
      <c r="N59" s="820">
        <f t="shared" si="33"/>
        <v>13.932178166337907</v>
      </c>
      <c r="O59" s="820">
        <f t="shared" si="33"/>
        <v>13.177107026141508</v>
      </c>
      <c r="P59" s="820">
        <f t="shared" si="33"/>
        <v>12.417774465616739</v>
      </c>
      <c r="Q59" s="820">
        <f t="shared" si="33"/>
        <v>11.744262522258103</v>
      </c>
      <c r="R59" s="820">
        <f t="shared" si="33"/>
        <v>11.066646001816752</v>
      </c>
      <c r="S59" s="820">
        <f t="shared" si="33"/>
        <v>10.384922305261668</v>
      </c>
      <c r="T59" s="820">
        <f t="shared" si="33"/>
        <v>9.6990888335618148</v>
      </c>
      <c r="U59" s="820">
        <f t="shared" si="33"/>
        <v>8.2029158508475319</v>
      </c>
      <c r="V59" s="820">
        <f t="shared" si="33"/>
        <v>8.1914578828745963</v>
      </c>
      <c r="W59" s="820">
        <f t="shared" si="33"/>
        <v>8.1798249344079537</v>
      </c>
      <c r="X59" s="820">
        <f t="shared" si="33"/>
        <v>8.1680170054476058</v>
      </c>
      <c r="Y59" s="820">
        <f t="shared" si="33"/>
        <v>8.1560340959935527</v>
      </c>
      <c r="Z59" s="820">
        <f t="shared" si="33"/>
        <v>8.1438762060457943</v>
      </c>
      <c r="AA59" s="820">
        <f t="shared" si="33"/>
        <v>8.1315433356043307</v>
      </c>
      <c r="AB59" s="820">
        <f t="shared" si="33"/>
        <v>8.1190354846691601</v>
      </c>
      <c r="AC59" s="820">
        <f t="shared" si="33"/>
        <v>8.1063526532402861</v>
      </c>
      <c r="AD59" s="820">
        <f t="shared" si="33"/>
        <v>8.093494841317705</v>
      </c>
      <c r="AE59" s="820">
        <f t="shared" si="33"/>
        <v>8.0465158331225535</v>
      </c>
      <c r="AF59" s="820">
        <f t="shared" si="33"/>
        <v>8.0672542759914254</v>
      </c>
      <c r="AG59" s="820">
        <f t="shared" si="33"/>
        <v>8.0879927188602991</v>
      </c>
      <c r="AH59" s="820">
        <f t="shared" si="33"/>
        <v>8.1087311617291711</v>
      </c>
      <c r="AI59" s="820">
        <f t="shared" si="33"/>
        <v>8.129469604598043</v>
      </c>
      <c r="AJ59" s="820">
        <f t="shared" si="33"/>
        <v>8.1502080474669167</v>
      </c>
      <c r="AK59" s="820">
        <f t="shared" si="33"/>
        <v>8.1709464903357887</v>
      </c>
      <c r="AL59" s="820">
        <f t="shared" si="33"/>
        <v>8.1916849332046588</v>
      </c>
      <c r="AM59" s="820">
        <f t="shared" si="33"/>
        <v>8.2124233760735326</v>
      </c>
      <c r="AN59" s="820">
        <f t="shared" ref="AN59" si="34">SUM(AN54:AN58)</f>
        <v>7.2879102707654058</v>
      </c>
    </row>
    <row r="61" spans="2:40" s="640" customFormat="1" x14ac:dyDescent="0.25">
      <c r="B61" s="748" t="s">
        <v>393</v>
      </c>
      <c r="C61" s="904" t="s">
        <v>967</v>
      </c>
      <c r="D61" s="1042">
        <f>AVERAGE(K61:AN61)</f>
        <v>49.384107509465572</v>
      </c>
      <c r="E61" s="793">
        <f>E51+E59</f>
        <v>0</v>
      </c>
      <c r="F61" s="793">
        <f t="shared" ref="F61:AM61" si="35">F51+F59</f>
        <v>0</v>
      </c>
      <c r="G61" s="793">
        <f t="shared" si="35"/>
        <v>0</v>
      </c>
      <c r="H61" s="793">
        <f t="shared" si="35"/>
        <v>0</v>
      </c>
      <c r="I61" s="793">
        <f t="shared" si="35"/>
        <v>0</v>
      </c>
      <c r="J61" s="793">
        <f t="shared" si="35"/>
        <v>0</v>
      </c>
      <c r="K61" s="793">
        <f t="shared" si="35"/>
        <v>69.305807981060667</v>
      </c>
      <c r="L61" s="793">
        <f t="shared" si="35"/>
        <v>66.760703193723685</v>
      </c>
      <c r="M61" s="793">
        <f t="shared" si="35"/>
        <v>64.200783036265932</v>
      </c>
      <c r="N61" s="793">
        <f t="shared" si="35"/>
        <v>61.626047508687364</v>
      </c>
      <c r="O61" s="793">
        <f t="shared" si="35"/>
        <v>59.036496610988024</v>
      </c>
      <c r="P61" s="793">
        <f t="shared" si="35"/>
        <v>56.432130343167898</v>
      </c>
      <c r="Q61" s="793">
        <f t="shared" si="35"/>
        <v>55.271788922355192</v>
      </c>
      <c r="R61" s="793">
        <f t="shared" si="35"/>
        <v>54.038514254374078</v>
      </c>
      <c r="S61" s="793">
        <f t="shared" si="35"/>
        <v>52.731778985931939</v>
      </c>
      <c r="T61" s="793">
        <f t="shared" si="35"/>
        <v>51.351055763735722</v>
      </c>
      <c r="U61" s="793">
        <f t="shared" si="35"/>
        <v>46.929595994353768</v>
      </c>
      <c r="V61" s="793">
        <f t="shared" si="35"/>
        <v>46.688761338916585</v>
      </c>
      <c r="W61" s="793">
        <f t="shared" si="35"/>
        <v>46.446000630572847</v>
      </c>
      <c r="X61" s="793">
        <f t="shared" si="35"/>
        <v>46.201313869322547</v>
      </c>
      <c r="Y61" s="793">
        <f t="shared" si="35"/>
        <v>45.954701055165685</v>
      </c>
      <c r="Z61" s="793">
        <f t="shared" si="35"/>
        <v>45.706162188102276</v>
      </c>
      <c r="AA61" s="793">
        <f t="shared" si="35"/>
        <v>45.455697268132297</v>
      </c>
      <c r="AB61" s="793">
        <f t="shared" si="35"/>
        <v>45.203306295255764</v>
      </c>
      <c r="AC61" s="793">
        <f t="shared" si="35"/>
        <v>44.948989269472676</v>
      </c>
      <c r="AD61" s="793">
        <f t="shared" si="35"/>
        <v>44.692746190783041</v>
      </c>
      <c r="AE61" s="793">
        <f t="shared" si="35"/>
        <v>44.060922795314703</v>
      </c>
      <c r="AF61" s="793">
        <f t="shared" si="35"/>
        <v>44.174481874684069</v>
      </c>
      <c r="AG61" s="793">
        <f t="shared" si="35"/>
        <v>44.288040954053436</v>
      </c>
      <c r="AH61" s="793">
        <f t="shared" si="35"/>
        <v>44.40160003342281</v>
      </c>
      <c r="AI61" s="793">
        <f t="shared" si="35"/>
        <v>44.515159112792176</v>
      </c>
      <c r="AJ61" s="793">
        <f t="shared" si="35"/>
        <v>44.628718192161543</v>
      </c>
      <c r="AK61" s="793">
        <f t="shared" si="35"/>
        <v>44.742277271530909</v>
      </c>
      <c r="AL61" s="793">
        <f t="shared" si="35"/>
        <v>44.855836350900276</v>
      </c>
      <c r="AM61" s="793">
        <f t="shared" si="35"/>
        <v>44.969395430269643</v>
      </c>
      <c r="AN61" s="793">
        <f t="shared" ref="AN61" si="36">AN51+AN59</f>
        <v>31.904412568469205</v>
      </c>
    </row>
  </sheetData>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O16"/>
  <sheetViews>
    <sheetView zoomScale="80" zoomScaleNormal="80" workbookViewId="0">
      <pane xSplit="4" ySplit="3" topLeftCell="E4" activePane="bottomRight" state="frozen"/>
      <selection activeCell="D38" sqref="D38"/>
      <selection pane="topRight" activeCell="D38" sqref="D38"/>
      <selection pane="bottomLeft" activeCell="D38" sqref="D38"/>
      <selection pane="bottomRight"/>
    </sheetView>
  </sheetViews>
  <sheetFormatPr defaultRowHeight="14.4" x14ac:dyDescent="0.25"/>
  <cols>
    <col min="1" max="1" width="2.21875" customWidth="1"/>
    <col min="2" max="2" width="30" customWidth="1"/>
    <col min="3" max="3" width="15.44140625" customWidth="1"/>
    <col min="4" max="4" width="12.33203125" customWidth="1"/>
    <col min="5" max="5" width="9.109375" customWidth="1"/>
    <col min="6" max="40" width="4.88671875" bestFit="1" customWidth="1"/>
    <col min="41" max="41" width="12.6640625" customWidth="1"/>
  </cols>
  <sheetData>
    <row r="1" spans="2:41" ht="10.15" customHeight="1" x14ac:dyDescent="0.25"/>
    <row r="2" spans="2:41" ht="17.7" x14ac:dyDescent="0.3">
      <c r="B2" s="641" t="s">
        <v>556</v>
      </c>
      <c r="C2" s="641"/>
      <c r="D2" s="641"/>
    </row>
    <row r="3" spans="2:41" x14ac:dyDescent="0.25">
      <c r="E3" s="648">
        <f>Assumptions!$D$10</f>
        <v>2018</v>
      </c>
      <c r="F3" s="672">
        <v>2019</v>
      </c>
      <c r="G3" s="672">
        <f>F3+1</f>
        <v>2020</v>
      </c>
      <c r="H3" s="672">
        <f t="shared" ref="H3:AO3" si="0">G3+1</f>
        <v>2021</v>
      </c>
      <c r="I3" s="672">
        <f t="shared" si="0"/>
        <v>2022</v>
      </c>
      <c r="J3" s="672">
        <f t="shared" si="0"/>
        <v>2023</v>
      </c>
      <c r="K3" s="672">
        <f t="shared" si="0"/>
        <v>2024</v>
      </c>
      <c r="L3" s="672">
        <f t="shared" si="0"/>
        <v>2025</v>
      </c>
      <c r="M3" s="672">
        <f t="shared" si="0"/>
        <v>2026</v>
      </c>
      <c r="N3" s="672">
        <f t="shared" si="0"/>
        <v>2027</v>
      </c>
      <c r="O3" s="672">
        <f t="shared" si="0"/>
        <v>2028</v>
      </c>
      <c r="P3" s="672">
        <f t="shared" si="0"/>
        <v>2029</v>
      </c>
      <c r="Q3" s="672">
        <f t="shared" si="0"/>
        <v>2030</v>
      </c>
      <c r="R3" s="672">
        <f t="shared" si="0"/>
        <v>2031</v>
      </c>
      <c r="S3" s="672">
        <f t="shared" si="0"/>
        <v>2032</v>
      </c>
      <c r="T3" s="672">
        <f t="shared" si="0"/>
        <v>2033</v>
      </c>
      <c r="U3" s="672">
        <f t="shared" si="0"/>
        <v>2034</v>
      </c>
      <c r="V3" s="672">
        <f t="shared" si="0"/>
        <v>2035</v>
      </c>
      <c r="W3" s="672">
        <f t="shared" si="0"/>
        <v>2036</v>
      </c>
      <c r="X3" s="672">
        <f t="shared" si="0"/>
        <v>2037</v>
      </c>
      <c r="Y3" s="672">
        <f t="shared" si="0"/>
        <v>2038</v>
      </c>
      <c r="Z3" s="672">
        <f t="shared" si="0"/>
        <v>2039</v>
      </c>
      <c r="AA3" s="672">
        <f t="shared" si="0"/>
        <v>2040</v>
      </c>
      <c r="AB3" s="672">
        <f t="shared" si="0"/>
        <v>2041</v>
      </c>
      <c r="AC3" s="672">
        <f t="shared" si="0"/>
        <v>2042</v>
      </c>
      <c r="AD3" s="672">
        <f t="shared" si="0"/>
        <v>2043</v>
      </c>
      <c r="AE3" s="672">
        <f t="shared" si="0"/>
        <v>2044</v>
      </c>
      <c r="AF3" s="672">
        <f t="shared" si="0"/>
        <v>2045</v>
      </c>
      <c r="AG3" s="672">
        <f t="shared" si="0"/>
        <v>2046</v>
      </c>
      <c r="AH3" s="672">
        <f t="shared" si="0"/>
        <v>2047</v>
      </c>
      <c r="AI3" s="672">
        <f t="shared" si="0"/>
        <v>2048</v>
      </c>
      <c r="AJ3" s="672">
        <f t="shared" si="0"/>
        <v>2049</v>
      </c>
      <c r="AK3" s="672">
        <f t="shared" si="0"/>
        <v>2050</v>
      </c>
      <c r="AL3" s="672">
        <f t="shared" si="0"/>
        <v>2051</v>
      </c>
      <c r="AM3" s="672">
        <f t="shared" si="0"/>
        <v>2052</v>
      </c>
      <c r="AN3" s="672">
        <f t="shared" si="0"/>
        <v>2053</v>
      </c>
      <c r="AO3" s="672">
        <f t="shared" si="0"/>
        <v>2054</v>
      </c>
    </row>
    <row r="4" spans="2:41" x14ac:dyDescent="0.2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row>
    <row r="5" spans="2:41" x14ac:dyDescent="0.25">
      <c r="B5" s="720"/>
      <c r="C5" s="656" t="s">
        <v>1143</v>
      </c>
      <c r="D5" s="656" t="s">
        <v>685</v>
      </c>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c r="AG5" s="675"/>
      <c r="AH5" s="675"/>
      <c r="AI5" s="675"/>
      <c r="AJ5" s="675"/>
      <c r="AK5" s="675"/>
      <c r="AL5" s="675"/>
    </row>
    <row r="6" spans="2:41" x14ac:dyDescent="0.25">
      <c r="B6" s="647" t="s">
        <v>557</v>
      </c>
      <c r="C6" s="6">
        <f>Assumptions!$D$24</f>
        <v>50</v>
      </c>
      <c r="D6" s="6">
        <f>Assumptions!$D$28</f>
        <v>50</v>
      </c>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row>
    <row r="7" spans="2:41" x14ac:dyDescent="0.25">
      <c r="B7" s="647" t="s">
        <v>558</v>
      </c>
      <c r="C7" s="655">
        <f>Assumptions!$D$13</f>
        <v>30</v>
      </c>
      <c r="D7" s="655">
        <f>Assumptions!$D$13</f>
        <v>30</v>
      </c>
      <c r="F7" s="675"/>
      <c r="G7" s="675"/>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5"/>
      <c r="AK7" s="675"/>
      <c r="AL7" s="675"/>
    </row>
    <row r="8" spans="2:41" ht="28" customHeight="1" x14ac:dyDescent="0.25">
      <c r="B8" s="718" t="s">
        <v>606</v>
      </c>
      <c r="C8" s="655">
        <f>C6-C7</f>
        <v>20</v>
      </c>
      <c r="D8" s="655">
        <f>D6-D7</f>
        <v>20</v>
      </c>
      <c r="F8" s="675"/>
      <c r="G8" s="675"/>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675"/>
      <c r="AL8" s="675"/>
    </row>
    <row r="9" spans="2:41" x14ac:dyDescent="0.25">
      <c r="B9" s="647" t="s">
        <v>559</v>
      </c>
      <c r="C9" s="719">
        <f>'Project Costs'!$C$14</f>
        <v>24997047.563440382</v>
      </c>
      <c r="D9" s="719">
        <f>SUM('Project Costs'!$C$15:$C$17)</f>
        <v>48462080.574893326</v>
      </c>
      <c r="F9" s="675"/>
      <c r="G9" s="675"/>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5"/>
      <c r="AL9" s="675"/>
    </row>
    <row r="10" spans="2:41" x14ac:dyDescent="0.25">
      <c r="B10" s="647" t="s">
        <v>561</v>
      </c>
      <c r="C10" s="719">
        <f>C9*(C8/C6)</f>
        <v>9998819.0253761541</v>
      </c>
      <c r="D10" s="719">
        <f>D9*(D8/D6)</f>
        <v>19384832.229957331</v>
      </c>
      <c r="F10" s="675"/>
      <c r="G10" s="675"/>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row>
    <row r="11" spans="2:41" x14ac:dyDescent="0.2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5"/>
      <c r="AL11" s="675"/>
    </row>
    <row r="12" spans="2:41" x14ac:dyDescent="0.25">
      <c r="F12" s="672">
        <f t="shared" ref="F12:AL12" si="1">F3</f>
        <v>2019</v>
      </c>
      <c r="G12" s="672">
        <f t="shared" si="1"/>
        <v>2020</v>
      </c>
      <c r="H12" s="672">
        <f t="shared" si="1"/>
        <v>2021</v>
      </c>
      <c r="I12" s="672">
        <f t="shared" si="1"/>
        <v>2022</v>
      </c>
      <c r="J12" s="672">
        <f t="shared" si="1"/>
        <v>2023</v>
      </c>
      <c r="K12" s="672">
        <f t="shared" si="1"/>
        <v>2024</v>
      </c>
      <c r="L12" s="672">
        <f t="shared" si="1"/>
        <v>2025</v>
      </c>
      <c r="M12" s="672">
        <f t="shared" si="1"/>
        <v>2026</v>
      </c>
      <c r="N12" s="672">
        <f t="shared" si="1"/>
        <v>2027</v>
      </c>
      <c r="O12" s="672">
        <f t="shared" si="1"/>
        <v>2028</v>
      </c>
      <c r="P12" s="672">
        <f t="shared" si="1"/>
        <v>2029</v>
      </c>
      <c r="Q12" s="672">
        <f t="shared" si="1"/>
        <v>2030</v>
      </c>
      <c r="R12" s="672">
        <f t="shared" si="1"/>
        <v>2031</v>
      </c>
      <c r="S12" s="672">
        <f t="shared" si="1"/>
        <v>2032</v>
      </c>
      <c r="T12" s="672">
        <f t="shared" si="1"/>
        <v>2033</v>
      </c>
      <c r="U12" s="672">
        <f t="shared" si="1"/>
        <v>2034</v>
      </c>
      <c r="V12" s="672">
        <f t="shared" si="1"/>
        <v>2035</v>
      </c>
      <c r="W12" s="672">
        <f t="shared" si="1"/>
        <v>2036</v>
      </c>
      <c r="X12" s="672">
        <f t="shared" si="1"/>
        <v>2037</v>
      </c>
      <c r="Y12" s="672">
        <f t="shared" si="1"/>
        <v>2038</v>
      </c>
      <c r="Z12" s="672">
        <f t="shared" si="1"/>
        <v>2039</v>
      </c>
      <c r="AA12" s="672">
        <f t="shared" si="1"/>
        <v>2040</v>
      </c>
      <c r="AB12" s="672">
        <f t="shared" si="1"/>
        <v>2041</v>
      </c>
      <c r="AC12" s="672">
        <f t="shared" si="1"/>
        <v>2042</v>
      </c>
      <c r="AD12" s="672">
        <f t="shared" si="1"/>
        <v>2043</v>
      </c>
      <c r="AE12" s="672">
        <f t="shared" si="1"/>
        <v>2044</v>
      </c>
      <c r="AF12" s="672">
        <f t="shared" si="1"/>
        <v>2045</v>
      </c>
      <c r="AG12" s="672">
        <f t="shared" si="1"/>
        <v>2046</v>
      </c>
      <c r="AH12" s="672">
        <f t="shared" si="1"/>
        <v>2047</v>
      </c>
      <c r="AI12" s="672">
        <f t="shared" si="1"/>
        <v>2048</v>
      </c>
      <c r="AJ12" s="672">
        <f t="shared" si="1"/>
        <v>2049</v>
      </c>
      <c r="AK12" s="672">
        <f t="shared" si="1"/>
        <v>2050</v>
      </c>
      <c r="AL12" s="672">
        <f t="shared" si="1"/>
        <v>2051</v>
      </c>
      <c r="AM12" s="672">
        <f t="shared" ref="AM12:AN12" si="2">AM3</f>
        <v>2052</v>
      </c>
      <c r="AN12" s="672">
        <f t="shared" si="2"/>
        <v>2053</v>
      </c>
      <c r="AO12" s="672">
        <f t="shared" ref="AO12" si="3">AO3</f>
        <v>2054</v>
      </c>
    </row>
    <row r="13" spans="2:41" s="660" customFormat="1" x14ac:dyDescent="0.25">
      <c r="B13" s="660" t="s">
        <v>756</v>
      </c>
      <c r="E13" s="652" t="s">
        <v>12</v>
      </c>
      <c r="F13" s="679">
        <f>IF(F12=Assumptions!$D$14,'Residual Value '!$C$10,0)</f>
        <v>0</v>
      </c>
      <c r="G13" s="679">
        <f>IF(G12=Assumptions!$D$14,'Residual Value '!$C$10,0)</f>
        <v>0</v>
      </c>
      <c r="H13" s="679">
        <f>IF(H12=Assumptions!$D$14,'Residual Value '!$C$10,0)</f>
        <v>0</v>
      </c>
      <c r="I13" s="679">
        <f>IF(I12=Assumptions!$D$14,'Residual Value '!$C$10,0)</f>
        <v>0</v>
      </c>
      <c r="J13" s="679">
        <f>IF(J12=Assumptions!$D$14,'Residual Value '!$C$10,0)</f>
        <v>0</v>
      </c>
      <c r="K13" s="679">
        <f>IF(K12=Assumptions!$D$14,'Residual Value '!$C$10,0)</f>
        <v>0</v>
      </c>
      <c r="L13" s="679">
        <f>IF(L12=Assumptions!$D$14,'Residual Value '!$C$10,0)</f>
        <v>0</v>
      </c>
      <c r="M13" s="679">
        <f>IF(M12=Assumptions!$D$14,'Residual Value '!$C$10,0)</f>
        <v>0</v>
      </c>
      <c r="N13" s="679">
        <f>IF(N12=Assumptions!$D$14,'Residual Value '!$C$10,0)</f>
        <v>0</v>
      </c>
      <c r="O13" s="679">
        <f>IF(O12=Assumptions!$D$14,'Residual Value '!$C$10,0)</f>
        <v>0</v>
      </c>
      <c r="P13" s="679">
        <f>IF(P12=Assumptions!$D$14,'Residual Value '!$C$10,0)</f>
        <v>0</v>
      </c>
      <c r="Q13" s="679">
        <f>IF(Q12=Assumptions!$D$14,'Residual Value '!$C$10,0)</f>
        <v>0</v>
      </c>
      <c r="R13" s="679">
        <f>IF(R12=Assumptions!$D$14,'Residual Value '!$C$10,0)</f>
        <v>0</v>
      </c>
      <c r="S13" s="679">
        <f>IF(S12=Assumptions!$D$14,'Residual Value '!$C$10,0)</f>
        <v>0</v>
      </c>
      <c r="T13" s="679">
        <f>IF(T12=Assumptions!$D$14,'Residual Value '!$C$10,0)</f>
        <v>0</v>
      </c>
      <c r="U13" s="679">
        <f>IF(U12=Assumptions!$D$14,'Residual Value '!$C$10,0)</f>
        <v>0</v>
      </c>
      <c r="V13" s="679">
        <f>IF(V12=Assumptions!$D$14,'Residual Value '!$C$10,0)</f>
        <v>0</v>
      </c>
      <c r="W13" s="679">
        <f>IF(W12=Assumptions!$D$14,'Residual Value '!$C$10,0)</f>
        <v>0</v>
      </c>
      <c r="X13" s="679">
        <f>IF(X12=Assumptions!$D$14,'Residual Value '!$C$10,0)</f>
        <v>0</v>
      </c>
      <c r="Y13" s="679">
        <f>IF(Y12=Assumptions!$D$14,'Residual Value '!$C$10,0)</f>
        <v>0</v>
      </c>
      <c r="Z13" s="679">
        <f>IF(Z12=Assumptions!$D$14,'Residual Value '!$C$10,0)</f>
        <v>0</v>
      </c>
      <c r="AA13" s="679">
        <f>IF(AA12=Assumptions!$D$14,'Residual Value '!$C$10,0)</f>
        <v>0</v>
      </c>
      <c r="AB13" s="679">
        <f>IF(AB12=Assumptions!$D$14,'Residual Value '!$C$10,0)</f>
        <v>0</v>
      </c>
      <c r="AC13" s="679">
        <f>IF(AC12=Assumptions!$D$14,'Residual Value '!$C$10,0)</f>
        <v>0</v>
      </c>
      <c r="AD13" s="679">
        <f>IF(AD12=Assumptions!$D$14,'Residual Value '!$C$10,0)</f>
        <v>0</v>
      </c>
      <c r="AE13" s="679">
        <f>IF(AE12=Assumptions!$D$14,'Residual Value '!$C$10,0)</f>
        <v>0</v>
      </c>
      <c r="AF13" s="679">
        <f>IF(AF12=Assumptions!$D$14,'Residual Value '!$C$10,0)</f>
        <v>0</v>
      </c>
      <c r="AG13" s="679">
        <f>IF(AG12=Assumptions!$D$14,'Residual Value '!$C$10,0)</f>
        <v>0</v>
      </c>
      <c r="AH13" s="679">
        <f>IF(AH12=Assumptions!$D$14,'Residual Value '!$C$10,0)</f>
        <v>0</v>
      </c>
      <c r="AI13" s="679">
        <f>IF(AI12=Assumptions!$D$14,'Residual Value '!$C$10,0)</f>
        <v>0</v>
      </c>
      <c r="AJ13" s="679">
        <f>IF(AJ12=Assumptions!$D$14,'Residual Value '!$C$10,0)</f>
        <v>0</v>
      </c>
      <c r="AK13" s="679">
        <f>IF(AK12=Assumptions!$D$14,'Residual Value '!$C$10,0)</f>
        <v>0</v>
      </c>
      <c r="AL13" s="679">
        <f>IF(AL12=Assumptions!$D$14,'Residual Value '!$C$10,0)</f>
        <v>0</v>
      </c>
      <c r="AM13" s="679">
        <f>IF(AM12=Assumptions!$D$14,'Residual Value '!$C$10,0)</f>
        <v>0</v>
      </c>
      <c r="AN13" s="679">
        <f>IF(AN12=Assumptions!$D$14,'Residual Value '!$C$10,0)</f>
        <v>0</v>
      </c>
      <c r="AO13" s="679">
        <f>IF(AO12=Assumptions!$D$14,'Residual Value '!$C$10,0)</f>
        <v>9998819.0253761541</v>
      </c>
    </row>
    <row r="14" spans="2:41" s="660" customFormat="1" x14ac:dyDescent="0.25">
      <c r="B14" s="660" t="s">
        <v>757</v>
      </c>
      <c r="E14" s="652" t="s">
        <v>12</v>
      </c>
      <c r="F14" s="679">
        <f>IF(F12=Assumptions!$D$18,'Residual Value '!$D$10,0)</f>
        <v>0</v>
      </c>
      <c r="G14" s="679">
        <f>IF(G12=Assumptions!$D$18,'Residual Value '!$D$10,0)</f>
        <v>0</v>
      </c>
      <c r="H14" s="679">
        <f>IF(H12=Assumptions!$D$18,'Residual Value '!$D$10,0)</f>
        <v>0</v>
      </c>
      <c r="I14" s="679">
        <f>IF(I12=Assumptions!$D$18,'Residual Value '!$D$10,0)</f>
        <v>0</v>
      </c>
      <c r="J14" s="679">
        <f>IF(J12=Assumptions!$D$18,'Residual Value '!$D$10,0)</f>
        <v>0</v>
      </c>
      <c r="K14" s="679">
        <f>IF(K12=Assumptions!$D$18,'Residual Value '!$D$10,0)</f>
        <v>0</v>
      </c>
      <c r="L14" s="679">
        <f>IF(L12=Assumptions!$D$18,'Residual Value '!$D$10,0)</f>
        <v>0</v>
      </c>
      <c r="M14" s="679">
        <f>IF(M12=Assumptions!$D$18,'Residual Value '!$D$10,0)</f>
        <v>0</v>
      </c>
      <c r="N14" s="679">
        <f>IF(N12=Assumptions!$D$18,'Residual Value '!$D$10,0)</f>
        <v>0</v>
      </c>
      <c r="O14" s="679">
        <f>IF(O12=Assumptions!$D$18,'Residual Value '!$D$10,0)</f>
        <v>0</v>
      </c>
      <c r="P14" s="679">
        <f>IF(P12=Assumptions!$D$18,'Residual Value '!$D$10,0)</f>
        <v>0</v>
      </c>
      <c r="Q14" s="679">
        <f>IF(Q12=Assumptions!$D$18,'Residual Value '!$D$10,0)</f>
        <v>0</v>
      </c>
      <c r="R14" s="679">
        <f>IF(R12=Assumptions!$D$18,'Residual Value '!$D$10,0)</f>
        <v>0</v>
      </c>
      <c r="S14" s="679">
        <f>IF(S12=Assumptions!$D$18,'Residual Value '!$D$10,0)</f>
        <v>0</v>
      </c>
      <c r="T14" s="679">
        <f>IF(T12=Assumptions!$D$18,'Residual Value '!$D$10,0)</f>
        <v>0</v>
      </c>
      <c r="U14" s="679">
        <f>IF(U12=Assumptions!$D$18,'Residual Value '!$D$10,0)</f>
        <v>0</v>
      </c>
      <c r="V14" s="679">
        <f>IF(V12=Assumptions!$D$18,'Residual Value '!$D$10,0)</f>
        <v>0</v>
      </c>
      <c r="W14" s="679">
        <f>IF(W12=Assumptions!$D$18,'Residual Value '!$D$10,0)</f>
        <v>0</v>
      </c>
      <c r="X14" s="679">
        <f>IF(X12=Assumptions!$D$18,'Residual Value '!$D$10,0)</f>
        <v>0</v>
      </c>
      <c r="Y14" s="679">
        <f>IF(Y12=Assumptions!$D$18,'Residual Value '!$D$10,0)</f>
        <v>0</v>
      </c>
      <c r="Z14" s="679">
        <f>IF(Z12=Assumptions!$D$18,'Residual Value '!$D$10,0)</f>
        <v>0</v>
      </c>
      <c r="AA14" s="679">
        <f>IF(AA12=Assumptions!$D$18,'Residual Value '!$D$10,0)</f>
        <v>0</v>
      </c>
      <c r="AB14" s="679">
        <f>IF(AB12=Assumptions!$D$18,'Residual Value '!$D$10,0)</f>
        <v>0</v>
      </c>
      <c r="AC14" s="679">
        <f>IF(AC12=Assumptions!$D$18,'Residual Value '!$D$10,0)</f>
        <v>0</v>
      </c>
      <c r="AD14" s="679">
        <f>IF(AD12=Assumptions!$D$18,'Residual Value '!$D$10,0)</f>
        <v>0</v>
      </c>
      <c r="AE14" s="679">
        <f>IF(AE12=Assumptions!$D$18,'Residual Value '!$D$10,0)</f>
        <v>0</v>
      </c>
      <c r="AF14" s="679">
        <f>IF(AF12=Assumptions!$D$18,'Residual Value '!$D$10,0)</f>
        <v>0</v>
      </c>
      <c r="AG14" s="679">
        <f>IF(AG12=Assumptions!$D$18,'Residual Value '!$D$10,0)</f>
        <v>0</v>
      </c>
      <c r="AH14" s="679">
        <f>IF(AH12=Assumptions!$D$18,'Residual Value '!$D$10,0)</f>
        <v>0</v>
      </c>
      <c r="AI14" s="679">
        <f>IF(AI12=Assumptions!$D$18,'Residual Value '!$D$10,0)</f>
        <v>0</v>
      </c>
      <c r="AJ14" s="679">
        <f>IF(AJ12=Assumptions!$D$18,'Residual Value '!$D$10,0)</f>
        <v>0</v>
      </c>
      <c r="AK14" s="679">
        <f>IF(AK12=Assumptions!$D$18,'Residual Value '!$D$10,0)</f>
        <v>0</v>
      </c>
      <c r="AL14" s="679">
        <f>IF(AL12=Assumptions!$D$18,'Residual Value '!$D$10,0)</f>
        <v>0</v>
      </c>
      <c r="AM14" s="679">
        <f>IF(AM12=Assumptions!$D$18,'Residual Value '!$D$10,0)</f>
        <v>0</v>
      </c>
      <c r="AN14" s="679">
        <f>IF(AN12=Assumptions!$D$18,'Residual Value '!$D$10,0)</f>
        <v>0</v>
      </c>
      <c r="AO14" s="679">
        <f>IF(AO12=Assumptions!$D$18,'Residual Value '!$D$10,0)</f>
        <v>19384832.229957331</v>
      </c>
    </row>
    <row r="15" spans="2:41" s="640" customFormat="1" x14ac:dyDescent="0.25">
      <c r="B15" s="640" t="s">
        <v>560</v>
      </c>
      <c r="E15" s="653" t="s">
        <v>12</v>
      </c>
      <c r="F15" s="1074">
        <f>SUM(F13:F14)</f>
        <v>0</v>
      </c>
      <c r="G15" s="1074">
        <f t="shared" ref="G15:AL15" si="4">SUM(G13:G14)</f>
        <v>0</v>
      </c>
      <c r="H15" s="1074">
        <f t="shared" si="4"/>
        <v>0</v>
      </c>
      <c r="I15" s="1074">
        <f t="shared" si="4"/>
        <v>0</v>
      </c>
      <c r="J15" s="1074">
        <f t="shared" si="4"/>
        <v>0</v>
      </c>
      <c r="K15" s="1074">
        <f t="shared" si="4"/>
        <v>0</v>
      </c>
      <c r="L15" s="1074">
        <f t="shared" si="4"/>
        <v>0</v>
      </c>
      <c r="M15" s="1074">
        <f t="shared" si="4"/>
        <v>0</v>
      </c>
      <c r="N15" s="1074">
        <f t="shared" si="4"/>
        <v>0</v>
      </c>
      <c r="O15" s="1074">
        <f t="shared" si="4"/>
        <v>0</v>
      </c>
      <c r="P15" s="1074">
        <f t="shared" si="4"/>
        <v>0</v>
      </c>
      <c r="Q15" s="1074">
        <f t="shared" si="4"/>
        <v>0</v>
      </c>
      <c r="R15" s="1074">
        <f t="shared" si="4"/>
        <v>0</v>
      </c>
      <c r="S15" s="1074">
        <f t="shared" si="4"/>
        <v>0</v>
      </c>
      <c r="T15" s="1074">
        <f t="shared" si="4"/>
        <v>0</v>
      </c>
      <c r="U15" s="1074">
        <f t="shared" si="4"/>
        <v>0</v>
      </c>
      <c r="V15" s="1074">
        <f t="shared" si="4"/>
        <v>0</v>
      </c>
      <c r="W15" s="1074">
        <f t="shared" si="4"/>
        <v>0</v>
      </c>
      <c r="X15" s="1074">
        <f t="shared" si="4"/>
        <v>0</v>
      </c>
      <c r="Y15" s="1074">
        <f t="shared" si="4"/>
        <v>0</v>
      </c>
      <c r="Z15" s="1074">
        <f t="shared" si="4"/>
        <v>0</v>
      </c>
      <c r="AA15" s="1074">
        <f t="shared" si="4"/>
        <v>0</v>
      </c>
      <c r="AB15" s="1074">
        <f t="shared" si="4"/>
        <v>0</v>
      </c>
      <c r="AC15" s="1074">
        <f t="shared" si="4"/>
        <v>0</v>
      </c>
      <c r="AD15" s="1074">
        <f t="shared" si="4"/>
        <v>0</v>
      </c>
      <c r="AE15" s="1074">
        <f t="shared" si="4"/>
        <v>0</v>
      </c>
      <c r="AF15" s="1074">
        <f t="shared" si="4"/>
        <v>0</v>
      </c>
      <c r="AG15" s="1074">
        <f t="shared" si="4"/>
        <v>0</v>
      </c>
      <c r="AH15" s="1074">
        <f t="shared" si="4"/>
        <v>0</v>
      </c>
      <c r="AI15" s="1074">
        <f t="shared" si="4"/>
        <v>0</v>
      </c>
      <c r="AJ15" s="1074">
        <f t="shared" si="4"/>
        <v>0</v>
      </c>
      <c r="AK15" s="1074">
        <f t="shared" si="4"/>
        <v>0</v>
      </c>
      <c r="AL15" s="1074">
        <f t="shared" si="4"/>
        <v>0</v>
      </c>
      <c r="AM15" s="1074">
        <f t="shared" ref="AM15:AN15" si="5">SUM(AM13:AM14)</f>
        <v>0</v>
      </c>
      <c r="AN15" s="1074">
        <f t="shared" si="5"/>
        <v>0</v>
      </c>
      <c r="AO15" s="1074">
        <f>SUM(AO13:AO14)</f>
        <v>29383651.255333483</v>
      </c>
    </row>
    <row r="16" spans="2:41" s="1" customFormat="1" x14ac:dyDescent="0.25"/>
  </sheetData>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Q142"/>
  <sheetViews>
    <sheetView showGridLines="0" zoomScale="91" zoomScaleNormal="91" workbookViewId="0"/>
  </sheetViews>
  <sheetFormatPr defaultColWidth="9" defaultRowHeight="10.5" x14ac:dyDescent="0.25"/>
  <cols>
    <col min="1" max="1" width="0.88671875" style="20" customWidth="1"/>
    <col min="2" max="2" width="30.21875" style="20" customWidth="1"/>
    <col min="3" max="3" width="17.88671875" style="20" customWidth="1"/>
    <col min="4" max="7" width="16.6640625" style="20" customWidth="1"/>
    <col min="8" max="8" width="23" style="20" customWidth="1"/>
    <col min="9" max="9" width="18.6640625" style="20" customWidth="1"/>
    <col min="10" max="10" width="9" style="20" customWidth="1"/>
    <col min="11" max="11" width="10.33203125" style="25" customWidth="1"/>
    <col min="12" max="12" width="10" style="25" customWidth="1"/>
    <col min="13" max="13" width="10" style="20" customWidth="1"/>
    <col min="14" max="14" width="9" style="20" customWidth="1"/>
    <col min="15" max="16384" width="9" style="20"/>
  </cols>
  <sheetData>
    <row r="1" spans="1:14" s="12" customFormat="1" ht="13.1" x14ac:dyDescent="0.25">
      <c r="A1" s="7" t="s">
        <v>16</v>
      </c>
      <c r="B1" s="8"/>
      <c r="C1" s="9"/>
      <c r="D1" s="9"/>
      <c r="E1" s="9"/>
      <c r="F1" s="9"/>
      <c r="G1" s="9"/>
      <c r="H1" s="10"/>
      <c r="I1" s="10"/>
      <c r="J1" s="10"/>
      <c r="K1" s="11"/>
      <c r="L1" s="11"/>
    </row>
    <row r="2" spans="1:14" s="14" customFormat="1" x14ac:dyDescent="0.25">
      <c r="A2" s="13"/>
      <c r="C2" s="15"/>
      <c r="D2" s="15"/>
      <c r="E2" s="15"/>
      <c r="F2" s="15"/>
      <c r="G2" s="15"/>
      <c r="H2" s="16"/>
      <c r="I2" s="16"/>
      <c r="J2" s="16"/>
      <c r="K2" s="17"/>
      <c r="L2" s="17"/>
    </row>
    <row r="3" spans="1:14" s="14" customFormat="1" x14ac:dyDescent="0.25">
      <c r="A3" s="13"/>
      <c r="C3" s="15" t="s">
        <v>17</v>
      </c>
      <c r="D3" s="15" t="s">
        <v>18</v>
      </c>
      <c r="E3" s="15" t="s">
        <v>19</v>
      </c>
      <c r="F3" s="15" t="s">
        <v>20</v>
      </c>
      <c r="G3" s="15" t="s">
        <v>21</v>
      </c>
      <c r="H3" s="16" t="s">
        <v>2</v>
      </c>
      <c r="I3" s="16" t="s">
        <v>22</v>
      </c>
      <c r="J3" s="16"/>
      <c r="K3" s="17"/>
      <c r="L3" s="17"/>
    </row>
    <row r="4" spans="1:14" s="14" customFormat="1" ht="14.4" x14ac:dyDescent="0.25">
      <c r="A4" s="13"/>
      <c r="C4" s="15"/>
      <c r="D4" s="15"/>
      <c r="E4" s="18"/>
      <c r="F4" s="19"/>
      <c r="G4" s="15"/>
      <c r="H4" s="16"/>
      <c r="I4" s="16"/>
      <c r="J4" s="16"/>
      <c r="K4" s="20"/>
      <c r="L4" s="17"/>
    </row>
    <row r="5" spans="1:14" ht="11.95" customHeight="1" x14ac:dyDescent="0.25">
      <c r="A5" s="13"/>
      <c r="B5" s="21" t="s">
        <v>23</v>
      </c>
      <c r="C5" s="22" t="s">
        <v>24</v>
      </c>
      <c r="D5" s="23">
        <v>9600000</v>
      </c>
      <c r="E5" s="23">
        <v>5400000</v>
      </c>
      <c r="F5" s="23">
        <v>13400000</v>
      </c>
      <c r="G5" s="24">
        <v>2017</v>
      </c>
      <c r="H5" s="1245" t="s">
        <v>25</v>
      </c>
      <c r="I5" s="1246" t="s">
        <v>26</v>
      </c>
      <c r="L5" s="26"/>
      <c r="M5" s="26"/>
      <c r="N5" s="27"/>
    </row>
    <row r="6" spans="1:14" x14ac:dyDescent="0.25">
      <c r="A6" s="21"/>
      <c r="B6" s="21"/>
      <c r="C6" s="22"/>
      <c r="D6" s="22"/>
      <c r="E6" s="28"/>
      <c r="F6" s="28"/>
      <c r="G6" s="29"/>
      <c r="H6" s="1245"/>
      <c r="I6" s="1246"/>
      <c r="L6" s="30"/>
      <c r="M6" s="30"/>
    </row>
    <row r="7" spans="1:14" x14ac:dyDescent="0.25">
      <c r="A7" s="21"/>
      <c r="B7" s="21" t="s">
        <v>27</v>
      </c>
      <c r="C7" s="22"/>
      <c r="D7" s="22"/>
      <c r="E7" s="28"/>
      <c r="F7" s="22"/>
      <c r="G7" s="22"/>
      <c r="H7" s="1245"/>
      <c r="I7" s="1246"/>
      <c r="J7" s="31"/>
      <c r="K7" s="20"/>
    </row>
    <row r="8" spans="1:14" x14ac:dyDescent="0.25">
      <c r="A8" s="21"/>
      <c r="B8" s="32" t="s">
        <v>28</v>
      </c>
      <c r="C8" s="33" t="s">
        <v>29</v>
      </c>
      <c r="D8" s="34">
        <v>3.0000000000000001E-3</v>
      </c>
      <c r="E8" s="28"/>
      <c r="F8" s="35"/>
      <c r="G8" s="22"/>
      <c r="H8" s="1245"/>
      <c r="I8" s="1246"/>
      <c r="J8" s="31"/>
    </row>
    <row r="9" spans="1:14" x14ac:dyDescent="0.25">
      <c r="A9" s="21"/>
      <c r="B9" s="32" t="s">
        <v>30</v>
      </c>
      <c r="C9" s="33" t="s">
        <v>29</v>
      </c>
      <c r="D9" s="34">
        <v>4.7E-2</v>
      </c>
      <c r="E9" s="28"/>
      <c r="F9" s="35"/>
      <c r="G9" s="22"/>
      <c r="H9" s="1245"/>
      <c r="I9" s="1246"/>
      <c r="J9" s="31"/>
    </row>
    <row r="10" spans="1:14" x14ac:dyDescent="0.25">
      <c r="A10" s="21"/>
      <c r="B10" s="32" t="s">
        <v>31</v>
      </c>
      <c r="C10" s="33" t="s">
        <v>29</v>
      </c>
      <c r="D10" s="34">
        <v>0.105</v>
      </c>
      <c r="E10" s="28"/>
      <c r="F10" s="35"/>
      <c r="G10" s="22"/>
      <c r="H10" s="1245"/>
      <c r="I10" s="1246"/>
      <c r="J10" s="31"/>
    </row>
    <row r="11" spans="1:14" x14ac:dyDescent="0.25">
      <c r="A11" s="21"/>
      <c r="B11" s="32" t="s">
        <v>32</v>
      </c>
      <c r="C11" s="33" t="s">
        <v>29</v>
      </c>
      <c r="D11" s="34">
        <v>0.26600000000000001</v>
      </c>
      <c r="E11" s="28"/>
      <c r="F11" s="35"/>
      <c r="G11" s="22"/>
      <c r="H11" s="1245"/>
      <c r="I11" s="1246"/>
      <c r="J11" s="31"/>
    </row>
    <row r="12" spans="1:14" x14ac:dyDescent="0.25">
      <c r="A12" s="21"/>
      <c r="B12" s="32" t="s">
        <v>33</v>
      </c>
      <c r="C12" s="33" t="s">
        <v>29</v>
      </c>
      <c r="D12" s="34">
        <v>0.59299999999999997</v>
      </c>
      <c r="E12" s="28"/>
      <c r="F12" s="35"/>
      <c r="G12" s="22"/>
      <c r="H12" s="1245"/>
      <c r="I12" s="1246"/>
      <c r="J12" s="31"/>
    </row>
    <row r="13" spans="1:14" x14ac:dyDescent="0.25">
      <c r="A13" s="21"/>
      <c r="B13" s="32" t="s">
        <v>34</v>
      </c>
      <c r="C13" s="33" t="s">
        <v>29</v>
      </c>
      <c r="D13" s="34">
        <v>1</v>
      </c>
      <c r="E13" s="28"/>
      <c r="F13" s="22"/>
      <c r="G13" s="22"/>
      <c r="H13" s="1245"/>
      <c r="I13" s="1246"/>
      <c r="J13" s="31"/>
    </row>
    <row r="14" spans="1:14" x14ac:dyDescent="0.25">
      <c r="A14" s="21"/>
      <c r="B14" s="36"/>
      <c r="C14" s="22"/>
      <c r="D14" s="37"/>
      <c r="E14" s="28"/>
      <c r="F14" s="22"/>
      <c r="G14" s="22"/>
      <c r="H14" s="38" t="s">
        <v>35</v>
      </c>
      <c r="I14" s="39"/>
      <c r="J14" s="31"/>
    </row>
    <row r="15" spans="1:14" x14ac:dyDescent="0.25">
      <c r="A15" s="21"/>
      <c r="B15" s="36"/>
      <c r="C15" s="22"/>
      <c r="D15" s="37"/>
      <c r="E15" s="28"/>
      <c r="F15" s="22"/>
      <c r="G15" s="22"/>
      <c r="H15" s="40" t="s">
        <v>36</v>
      </c>
      <c r="I15" s="41"/>
      <c r="J15" s="31"/>
    </row>
    <row r="16" spans="1:14" x14ac:dyDescent="0.25">
      <c r="A16" s="21"/>
      <c r="B16" s="21" t="s">
        <v>37</v>
      </c>
      <c r="H16" s="42"/>
      <c r="I16" s="42"/>
      <c r="J16" s="42"/>
    </row>
    <row r="17" spans="1:17" ht="85.95" customHeight="1" x14ac:dyDescent="0.25">
      <c r="A17" s="21"/>
      <c r="B17" s="43" t="s">
        <v>38</v>
      </c>
      <c r="C17" s="33" t="s">
        <v>39</v>
      </c>
      <c r="D17" s="23">
        <v>4300</v>
      </c>
      <c r="E17" s="44"/>
      <c r="F17" s="44"/>
      <c r="G17" s="24">
        <v>2017</v>
      </c>
      <c r="H17" s="45" t="s">
        <v>40</v>
      </c>
      <c r="I17" s="46" t="s">
        <v>41</v>
      </c>
      <c r="J17" s="47"/>
      <c r="K17" s="48"/>
    </row>
    <row r="18" spans="1:17" ht="14.4" x14ac:dyDescent="0.25">
      <c r="M18" s="18"/>
      <c r="N18" s="18"/>
    </row>
    <row r="19" spans="1:17" ht="14.4" x14ac:dyDescent="0.25">
      <c r="K19" s="17"/>
      <c r="L19" s="17"/>
      <c r="M19" s="18"/>
      <c r="N19" s="18"/>
    </row>
    <row r="20" spans="1:17" ht="14.4" x14ac:dyDescent="0.25">
      <c r="B20" s="49" t="s">
        <v>42</v>
      </c>
      <c r="C20" s="50"/>
      <c r="D20" s="50"/>
      <c r="E20" s="51"/>
      <c r="F20" s="51"/>
      <c r="G20" s="51"/>
      <c r="H20" s="51"/>
      <c r="I20" s="51"/>
      <c r="J20" s="52"/>
      <c r="K20" s="17"/>
      <c r="L20" s="17"/>
      <c r="M20" s="18"/>
      <c r="N20" s="18"/>
    </row>
    <row r="21" spans="1:17" x14ac:dyDescent="0.25">
      <c r="B21" s="53"/>
      <c r="C21" s="54" t="s">
        <v>43</v>
      </c>
      <c r="D21" s="55" t="s">
        <v>44</v>
      </c>
      <c r="E21" s="55" t="s">
        <v>45</v>
      </c>
      <c r="F21" s="55" t="s">
        <v>46</v>
      </c>
      <c r="G21" s="54" t="s">
        <v>47</v>
      </c>
      <c r="H21" s="54" t="s">
        <v>48</v>
      </c>
      <c r="I21" s="54" t="s">
        <v>49</v>
      </c>
      <c r="J21" s="56"/>
    </row>
    <row r="22" spans="1:17" x14ac:dyDescent="0.25">
      <c r="B22" s="53"/>
      <c r="C22" s="54" t="s">
        <v>50</v>
      </c>
      <c r="D22" s="55" t="s">
        <v>51</v>
      </c>
      <c r="E22" s="55" t="s">
        <v>52</v>
      </c>
      <c r="F22" s="55" t="s">
        <v>53</v>
      </c>
      <c r="G22" s="54" t="s">
        <v>54</v>
      </c>
      <c r="H22" s="54" t="s">
        <v>55</v>
      </c>
      <c r="I22" s="54" t="s">
        <v>56</v>
      </c>
      <c r="J22" s="56"/>
    </row>
    <row r="23" spans="1:17" x14ac:dyDescent="0.25">
      <c r="B23" s="57" t="s">
        <v>57</v>
      </c>
      <c r="C23" s="58">
        <v>0.92534000000000005</v>
      </c>
      <c r="D23" s="58">
        <v>0.23436999999999999</v>
      </c>
      <c r="E23" s="58">
        <v>8.3470000000000003E-2</v>
      </c>
      <c r="F23" s="58">
        <v>3.4369999999999998E-2</v>
      </c>
      <c r="G23" s="58">
        <v>0</v>
      </c>
      <c r="H23" s="58">
        <v>0.21537999999999999</v>
      </c>
      <c r="I23" s="58">
        <v>0.43675999999999998</v>
      </c>
      <c r="J23" s="56"/>
    </row>
    <row r="24" spans="1:17" x14ac:dyDescent="0.25">
      <c r="B24" s="57" t="s">
        <v>58</v>
      </c>
      <c r="C24" s="58">
        <v>7.2569999999999996E-2</v>
      </c>
      <c r="D24" s="58">
        <v>0.68945999999999996</v>
      </c>
      <c r="E24" s="58">
        <v>0.76842999999999995</v>
      </c>
      <c r="F24" s="58">
        <v>0.55449000000000004</v>
      </c>
      <c r="G24" s="58">
        <v>0</v>
      </c>
      <c r="H24" s="58">
        <v>0.62727999999999995</v>
      </c>
      <c r="I24" s="58">
        <v>0.41738999999999998</v>
      </c>
      <c r="J24" s="56"/>
    </row>
    <row r="25" spans="1:17" x14ac:dyDescent="0.25">
      <c r="B25" s="57" t="s">
        <v>59</v>
      </c>
      <c r="C25" s="58">
        <v>1.98E-3</v>
      </c>
      <c r="D25" s="58">
        <v>6.3909999999999995E-2</v>
      </c>
      <c r="E25" s="58">
        <v>0.10897999999999999</v>
      </c>
      <c r="F25" s="58">
        <v>0.20907999999999999</v>
      </c>
      <c r="G25" s="58">
        <v>0</v>
      </c>
      <c r="H25" s="58">
        <v>0.104</v>
      </c>
      <c r="I25" s="58">
        <v>8.8719999999999993E-2</v>
      </c>
      <c r="J25" s="56"/>
    </row>
    <row r="26" spans="1:17" x14ac:dyDescent="0.25">
      <c r="B26" s="57" t="s">
        <v>60</v>
      </c>
      <c r="C26" s="58">
        <v>8.0000000000000007E-5</v>
      </c>
      <c r="D26" s="58">
        <v>1.0710000000000001E-2</v>
      </c>
      <c r="E26" s="58">
        <v>3.1910000000000001E-2</v>
      </c>
      <c r="F26" s="58">
        <v>0.14437</v>
      </c>
      <c r="G26" s="58">
        <v>0</v>
      </c>
      <c r="H26" s="58">
        <v>3.8580000000000003E-2</v>
      </c>
      <c r="I26" s="58">
        <v>4.8169999999999998E-2</v>
      </c>
      <c r="J26" s="56"/>
    </row>
    <row r="27" spans="1:17" x14ac:dyDescent="0.25">
      <c r="B27" s="57" t="s">
        <v>61</v>
      </c>
      <c r="C27" s="58">
        <v>0</v>
      </c>
      <c r="D27" s="58">
        <v>1.42E-3</v>
      </c>
      <c r="E27" s="58">
        <v>6.1999999999999998E-3</v>
      </c>
      <c r="F27" s="58">
        <v>3.986E-2</v>
      </c>
      <c r="G27" s="58">
        <v>0</v>
      </c>
      <c r="H27" s="58">
        <v>4.4200000000000003E-3</v>
      </c>
      <c r="I27" s="58">
        <v>6.1700000000000001E-3</v>
      </c>
      <c r="J27" s="56"/>
    </row>
    <row r="28" spans="1:17" x14ac:dyDescent="0.25">
      <c r="B28" s="57" t="s">
        <v>62</v>
      </c>
      <c r="C28" s="58">
        <v>3.0000000000000001E-5</v>
      </c>
      <c r="D28" s="58">
        <v>1.2999999999999999E-4</v>
      </c>
      <c r="E28" s="58">
        <v>1.01E-3</v>
      </c>
      <c r="F28" s="58">
        <v>1.7829999999999999E-2</v>
      </c>
      <c r="G28" s="58">
        <v>0</v>
      </c>
      <c r="H28" s="58">
        <v>1.034E-2</v>
      </c>
      <c r="I28" s="58">
        <v>2.7899999999999999E-3</v>
      </c>
      <c r="J28" s="56"/>
    </row>
    <row r="29" spans="1:17" x14ac:dyDescent="0.25">
      <c r="B29" s="57" t="s">
        <v>63</v>
      </c>
      <c r="C29" s="58">
        <v>0</v>
      </c>
      <c r="D29" s="58">
        <v>0</v>
      </c>
      <c r="E29" s="58">
        <v>0</v>
      </c>
      <c r="F29" s="58">
        <v>0</v>
      </c>
      <c r="G29" s="58">
        <v>1</v>
      </c>
      <c r="H29" s="58">
        <v>0</v>
      </c>
      <c r="I29" s="58">
        <v>0</v>
      </c>
      <c r="J29" s="56"/>
    </row>
    <row r="30" spans="1:17" x14ac:dyDescent="0.25">
      <c r="B30" s="59" t="s">
        <v>64</v>
      </c>
      <c r="J30" s="56"/>
    </row>
    <row r="31" spans="1:17" x14ac:dyDescent="0.25">
      <c r="B31" s="59" t="s">
        <v>65</v>
      </c>
      <c r="J31" s="56"/>
    </row>
    <row r="32" spans="1:17" x14ac:dyDescent="0.25">
      <c r="B32" s="59" t="s">
        <v>66</v>
      </c>
      <c r="P32" s="20" t="s">
        <v>67</v>
      </c>
      <c r="Q32" s="20" t="s">
        <v>68</v>
      </c>
    </row>
    <row r="33" spans="2:17" x14ac:dyDescent="0.25">
      <c r="P33" s="60" t="s">
        <v>69</v>
      </c>
    </row>
    <row r="34" spans="2:17" x14ac:dyDescent="0.25">
      <c r="B34" s="61" t="s">
        <v>70</v>
      </c>
      <c r="C34" s="51"/>
      <c r="D34" s="51"/>
      <c r="E34" s="51"/>
      <c r="F34" s="51"/>
      <c r="G34" s="51"/>
      <c r="P34" s="20" t="s">
        <v>71</v>
      </c>
    </row>
    <row r="35" spans="2:17" x14ac:dyDescent="0.25">
      <c r="B35" s="62"/>
      <c r="C35" s="55" t="s">
        <v>53</v>
      </c>
      <c r="D35" s="55" t="s">
        <v>72</v>
      </c>
      <c r="E35" s="55" t="s">
        <v>73</v>
      </c>
      <c r="F35" s="55" t="s">
        <v>74</v>
      </c>
      <c r="G35" s="51"/>
      <c r="P35" s="63" t="s">
        <v>75</v>
      </c>
      <c r="Q35" s="25"/>
    </row>
    <row r="36" spans="2:17" x14ac:dyDescent="0.25">
      <c r="B36" s="64" t="s">
        <v>76</v>
      </c>
      <c r="C36" s="65">
        <v>180000</v>
      </c>
      <c r="D36" s="65">
        <v>719000</v>
      </c>
      <c r="E36" s="65">
        <v>1544000</v>
      </c>
      <c r="F36" s="66">
        <f>SUM(C36:E36)</f>
        <v>2443000</v>
      </c>
      <c r="G36" s="51"/>
    </row>
    <row r="37" spans="2:17" x14ac:dyDescent="0.25">
      <c r="B37" s="64" t="s">
        <v>77</v>
      </c>
      <c r="C37" s="67">
        <f>C36/$F$36</f>
        <v>7.3679901760130992E-2</v>
      </c>
      <c r="D37" s="67">
        <f>D36/$F$36</f>
        <v>0.29431027425296769</v>
      </c>
      <c r="E37" s="67">
        <f>E36/$F$36</f>
        <v>0.63200982398690131</v>
      </c>
      <c r="F37" s="67">
        <f>F36/$F$36</f>
        <v>1</v>
      </c>
      <c r="G37" s="51"/>
    </row>
    <row r="38" spans="2:17" x14ac:dyDescent="0.25">
      <c r="B38" s="20" t="s">
        <v>78</v>
      </c>
      <c r="C38" s="51"/>
      <c r="D38" s="51"/>
      <c r="E38" s="51"/>
      <c r="F38" s="51"/>
      <c r="G38" s="51"/>
    </row>
    <row r="39" spans="2:17" x14ac:dyDescent="0.25">
      <c r="B39" s="68" t="s">
        <v>79</v>
      </c>
      <c r="C39" s="51"/>
      <c r="D39" s="51"/>
      <c r="E39" s="51"/>
      <c r="F39" s="51"/>
      <c r="G39" s="51"/>
    </row>
    <row r="40" spans="2:17" x14ac:dyDescent="0.25">
      <c r="B40" s="63" t="s">
        <v>80</v>
      </c>
      <c r="C40" s="51"/>
      <c r="D40" s="51"/>
      <c r="E40" s="51"/>
      <c r="F40" s="51"/>
      <c r="G40" s="51"/>
    </row>
    <row r="42" spans="2:17" s="70" customFormat="1" x14ac:dyDescent="0.25">
      <c r="B42" s="69" t="s">
        <v>81</v>
      </c>
      <c r="K42" s="71"/>
      <c r="L42" s="71"/>
    </row>
    <row r="43" spans="2:17" s="70" customFormat="1" x14ac:dyDescent="0.25">
      <c r="B43" s="69"/>
      <c r="K43" s="71"/>
      <c r="L43" s="71"/>
    </row>
    <row r="45" spans="2:17" x14ac:dyDescent="0.25">
      <c r="B45" s="60" t="s">
        <v>82</v>
      </c>
    </row>
    <row r="46" spans="2:17" x14ac:dyDescent="0.25">
      <c r="B46" s="60"/>
      <c r="D46" s="72" t="s">
        <v>83</v>
      </c>
      <c r="E46" s="73" t="s">
        <v>84</v>
      </c>
      <c r="F46" s="73" t="s">
        <v>85</v>
      </c>
      <c r="K46" s="74"/>
      <c r="L46" s="75"/>
      <c r="M46" s="75"/>
    </row>
    <row r="47" spans="2:17" x14ac:dyDescent="0.25">
      <c r="B47" s="76" t="s">
        <v>86</v>
      </c>
      <c r="C47" s="33" t="s">
        <v>87</v>
      </c>
      <c r="D47" s="77">
        <v>28800</v>
      </c>
      <c r="E47" s="78">
        <f>$E$5*D8</f>
        <v>16200</v>
      </c>
      <c r="F47" s="78">
        <f>$F$5*D8</f>
        <v>40200</v>
      </c>
      <c r="G47" s="79">
        <v>2017</v>
      </c>
      <c r="K47" s="80"/>
      <c r="L47" s="80"/>
      <c r="M47" s="81"/>
      <c r="N47" s="82"/>
    </row>
    <row r="48" spans="2:17" x14ac:dyDescent="0.25">
      <c r="B48" s="76" t="s">
        <v>88</v>
      </c>
      <c r="C48" s="33" t="s">
        <v>87</v>
      </c>
      <c r="D48" s="83">
        <v>451200</v>
      </c>
      <c r="E48" s="78">
        <f t="shared" ref="E48:E52" si="0">$E$5*D9</f>
        <v>253800</v>
      </c>
      <c r="F48" s="78">
        <f t="shared" ref="F48:F52" si="1">$F$5*D9</f>
        <v>629800</v>
      </c>
      <c r="G48" s="29">
        <v>2017</v>
      </c>
      <c r="K48" s="80"/>
      <c r="L48" s="80"/>
      <c r="M48" s="81"/>
      <c r="N48" s="82"/>
    </row>
    <row r="49" spans="2:14" x14ac:dyDescent="0.25">
      <c r="B49" s="76" t="s">
        <v>89</v>
      </c>
      <c r="C49" s="33" t="s">
        <v>87</v>
      </c>
      <c r="D49" s="83">
        <v>1008000</v>
      </c>
      <c r="E49" s="78">
        <f t="shared" si="0"/>
        <v>567000</v>
      </c>
      <c r="F49" s="78">
        <f t="shared" si="1"/>
        <v>1407000</v>
      </c>
      <c r="G49" s="29">
        <v>2017</v>
      </c>
      <c r="K49" s="80"/>
      <c r="L49" s="80"/>
      <c r="M49" s="81"/>
      <c r="N49" s="82"/>
    </row>
    <row r="50" spans="2:14" x14ac:dyDescent="0.25">
      <c r="B50" s="76" t="s">
        <v>90</v>
      </c>
      <c r="C50" s="33" t="s">
        <v>87</v>
      </c>
      <c r="D50" s="83">
        <v>2553600</v>
      </c>
      <c r="E50" s="78">
        <f t="shared" si="0"/>
        <v>1436400</v>
      </c>
      <c r="F50" s="78">
        <f t="shared" si="1"/>
        <v>3564400</v>
      </c>
      <c r="G50" s="29">
        <v>2017</v>
      </c>
      <c r="K50" s="80"/>
      <c r="L50" s="80"/>
      <c r="M50" s="81"/>
      <c r="N50" s="82"/>
    </row>
    <row r="51" spans="2:14" x14ac:dyDescent="0.25">
      <c r="B51" s="76" t="s">
        <v>91</v>
      </c>
      <c r="C51" s="33" t="s">
        <v>87</v>
      </c>
      <c r="D51" s="83">
        <v>5692800</v>
      </c>
      <c r="E51" s="78">
        <f t="shared" si="0"/>
        <v>3202200</v>
      </c>
      <c r="F51" s="78">
        <f t="shared" si="1"/>
        <v>7946200</v>
      </c>
      <c r="G51" s="29">
        <v>2017</v>
      </c>
      <c r="K51" s="80"/>
      <c r="L51" s="80"/>
      <c r="M51" s="81"/>
      <c r="N51" s="82"/>
    </row>
    <row r="52" spans="2:14" x14ac:dyDescent="0.25">
      <c r="B52" s="76" t="s">
        <v>63</v>
      </c>
      <c r="C52" s="33" t="s">
        <v>92</v>
      </c>
      <c r="D52" s="84">
        <v>9600000</v>
      </c>
      <c r="E52" s="78">
        <f t="shared" si="0"/>
        <v>5400000</v>
      </c>
      <c r="F52" s="78">
        <f t="shared" si="1"/>
        <v>13400000</v>
      </c>
      <c r="G52" s="29">
        <v>2017</v>
      </c>
      <c r="K52" s="80"/>
      <c r="L52" s="80"/>
      <c r="M52" s="81"/>
      <c r="N52" s="82"/>
    </row>
    <row r="53" spans="2:14" ht="14.4" x14ac:dyDescent="0.25">
      <c r="B53" s="36"/>
      <c r="C53" s="33"/>
      <c r="D53" s="18"/>
      <c r="E53" s="78"/>
      <c r="F53" s="78"/>
      <c r="G53" s="29"/>
      <c r="K53" s="80"/>
      <c r="L53" s="80"/>
      <c r="M53" s="81"/>
      <c r="N53" s="82"/>
    </row>
    <row r="54" spans="2:14" x14ac:dyDescent="0.25">
      <c r="B54" s="36" t="s">
        <v>93</v>
      </c>
      <c r="C54" s="33" t="s">
        <v>87</v>
      </c>
      <c r="D54" s="85">
        <f>ROUND(SUMPRODUCT($C$24:$C$29,D$47:D$52),-2)</f>
        <v>3200</v>
      </c>
      <c r="E54" s="78">
        <f>SUMPRODUCT($C$24:$C$29,E$47:E$52)</f>
        <v>1819.5839999999998</v>
      </c>
      <c r="F54" s="78">
        <f>SUMPRODUCT($C$24:$C$29,F$47:F$52)</f>
        <v>4515.2640000000001</v>
      </c>
      <c r="G54" s="29">
        <v>2017</v>
      </c>
      <c r="J54" s="86"/>
      <c r="K54" s="86"/>
      <c r="L54" s="86"/>
    </row>
    <row r="55" spans="2:14" x14ac:dyDescent="0.25">
      <c r="B55" s="36" t="s">
        <v>94</v>
      </c>
      <c r="C55" s="33" t="s">
        <v>87</v>
      </c>
      <c r="D55" s="87">
        <f>ROUND(SUMPRODUCT($D$24:$D$29,D$47:D$52),-2)</f>
        <v>63900</v>
      </c>
      <c r="E55" s="78">
        <f>SUMPRODUCT($D$24:$D$29,E$47:E$52)</f>
        <v>35918.154000000002</v>
      </c>
      <c r="F55" s="78">
        <f>SUMPRODUCT($D$24:$D$29,F$47:F$52)</f>
        <v>89130.233999999997</v>
      </c>
      <c r="G55" s="29">
        <v>2017</v>
      </c>
      <c r="H55" s="88"/>
    </row>
    <row r="56" spans="2:14" x14ac:dyDescent="0.25">
      <c r="B56" s="36" t="s">
        <v>95</v>
      </c>
      <c r="C56" s="33" t="s">
        <v>87</v>
      </c>
      <c r="D56" s="87">
        <f>ROUND(SUMPRODUCT($E$24:$E$29,D$47:D$52),-2)</f>
        <v>125000</v>
      </c>
      <c r="E56" s="78">
        <f>SUMPRODUCT($E$24:$E$29,E$47:E$52)</f>
        <v>70340.561999999991</v>
      </c>
      <c r="F56" s="78">
        <f>SUMPRODUCT($E$24:$E$29,F$47:F$52)</f>
        <v>174548.802</v>
      </c>
      <c r="G56" s="29">
        <v>2017</v>
      </c>
      <c r="H56" s="89"/>
    </row>
    <row r="57" spans="2:14" x14ac:dyDescent="0.25">
      <c r="B57" s="36" t="s">
        <v>96</v>
      </c>
      <c r="C57" s="33" t="s">
        <v>87</v>
      </c>
      <c r="D57" s="87">
        <f>ROUND(SUMPRODUCT($F$24:$F$29,D$47:D$52),-2)</f>
        <v>459100</v>
      </c>
      <c r="E57" s="78">
        <f>SUMPRODUCT($F$24:$F$29,E$47:E$52)</f>
        <v>258255.16200000001</v>
      </c>
      <c r="F57" s="78">
        <f>SUMPRODUCT($F$24:$F$29,F$47:F$52)</f>
        <v>640855.402</v>
      </c>
      <c r="G57" s="29">
        <v>2017</v>
      </c>
    </row>
    <row r="58" spans="2:14" x14ac:dyDescent="0.25">
      <c r="B58" s="36" t="s">
        <v>97</v>
      </c>
      <c r="C58" s="33" t="s">
        <v>87</v>
      </c>
      <c r="D58" s="87">
        <f>ROUND(SUMPRODUCT($G$24:$G$29,D$47:D$52),-2)</f>
        <v>9600000</v>
      </c>
      <c r="E58" s="78">
        <f>SUMPRODUCT($G$24:$G$29,E$47:E$52)</f>
        <v>5400000</v>
      </c>
      <c r="F58" s="78">
        <f>SUMPRODUCT($G$24:$G$29,F$47:F$52)</f>
        <v>13400000</v>
      </c>
      <c r="G58" s="29">
        <v>2017</v>
      </c>
    </row>
    <row r="59" spans="2:14" x14ac:dyDescent="0.25">
      <c r="B59" s="36" t="s">
        <v>98</v>
      </c>
      <c r="C59" s="33" t="s">
        <v>87</v>
      </c>
      <c r="D59" s="87">
        <f>ROUND(SUMPRODUCT($H$24:$H$29,D$47:D$52),-2)</f>
        <v>174000</v>
      </c>
      <c r="E59" s="78">
        <f>SUMPRODUCT($H$24:$H$29,E$47:E$52)</f>
        <v>97891.631999999998</v>
      </c>
      <c r="F59" s="78">
        <f>SUMPRODUCT($H$24:$H$29,F$47:F$52)</f>
        <v>242916.272</v>
      </c>
      <c r="G59" s="29">
        <v>2017</v>
      </c>
    </row>
    <row r="60" spans="2:14" x14ac:dyDescent="0.25">
      <c r="B60" s="36" t="s">
        <v>99</v>
      </c>
      <c r="C60" s="33" t="s">
        <v>87</v>
      </c>
      <c r="D60" s="90">
        <f>ROUND(SUMPRODUCT($I$24:$I$29,D$47:D$52),-2)</f>
        <v>132200</v>
      </c>
      <c r="E60" s="78">
        <f>SUMPRODUCT($I$24:$I$29,E$47:E$52)</f>
        <v>74387.97</v>
      </c>
      <c r="F60" s="78">
        <f>SUMPRODUCT($I$24:$I$29,F$47:F$52)</f>
        <v>184592.37</v>
      </c>
      <c r="G60" s="29">
        <v>2017</v>
      </c>
      <c r="K60" s="20"/>
      <c r="L60" s="20"/>
    </row>
    <row r="61" spans="2:14" x14ac:dyDescent="0.25">
      <c r="B61" s="36"/>
      <c r="C61" s="91"/>
      <c r="D61" s="92"/>
      <c r="E61" s="78"/>
      <c r="F61" s="78"/>
      <c r="G61" s="29"/>
      <c r="K61" s="93"/>
      <c r="L61" s="93"/>
    </row>
    <row r="62" spans="2:14" x14ac:dyDescent="0.25">
      <c r="B62" s="20" t="s">
        <v>100</v>
      </c>
      <c r="C62" s="22"/>
      <c r="D62" s="92"/>
      <c r="E62" s="78"/>
      <c r="F62" s="78"/>
      <c r="G62" s="29"/>
    </row>
    <row r="63" spans="2:14" x14ac:dyDescent="0.25">
      <c r="B63" s="20" t="s">
        <v>101</v>
      </c>
      <c r="C63" s="22"/>
      <c r="D63" s="92"/>
      <c r="E63" s="78"/>
      <c r="F63" s="78"/>
      <c r="G63" s="29"/>
    </row>
    <row r="64" spans="2:14" s="14" customFormat="1" x14ac:dyDescent="0.25">
      <c r="C64" s="29"/>
      <c r="D64" s="94"/>
      <c r="E64" s="95"/>
      <c r="F64" s="95"/>
      <c r="G64" s="29"/>
      <c r="K64" s="17"/>
      <c r="L64" s="17"/>
      <c r="N64" s="20"/>
    </row>
    <row r="65" spans="2:14" x14ac:dyDescent="0.25">
      <c r="B65" s="60" t="s">
        <v>102</v>
      </c>
      <c r="C65" s="22"/>
      <c r="D65" s="92"/>
      <c r="E65" s="78"/>
      <c r="F65" s="78"/>
      <c r="G65" s="22"/>
    </row>
    <row r="66" spans="2:14" x14ac:dyDescent="0.25">
      <c r="B66" s="36" t="s">
        <v>38</v>
      </c>
      <c r="C66" s="22" t="s">
        <v>39</v>
      </c>
      <c r="D66" s="96">
        <v>4300</v>
      </c>
      <c r="E66" s="24">
        <v>2017</v>
      </c>
      <c r="J66" s="97"/>
      <c r="K66" s="98"/>
    </row>
    <row r="67" spans="2:14" x14ac:dyDescent="0.25">
      <c r="D67" s="99"/>
      <c r="G67" s="22"/>
      <c r="K67" s="20"/>
      <c r="L67" s="20"/>
    </row>
    <row r="68" spans="2:14" ht="14.4" x14ac:dyDescent="0.25">
      <c r="B68" s="60" t="s">
        <v>103</v>
      </c>
      <c r="D68" s="99"/>
      <c r="G68" s="22"/>
      <c r="I68" s="18"/>
      <c r="J68" s="18"/>
      <c r="K68" s="18"/>
      <c r="L68" s="18"/>
      <c r="M68" s="18"/>
    </row>
    <row r="69" spans="2:14" ht="14.4" x14ac:dyDescent="0.25">
      <c r="B69" s="1243" t="s">
        <v>83</v>
      </c>
      <c r="C69" s="55" t="s">
        <v>44</v>
      </c>
      <c r="D69" s="55" t="s">
        <v>45</v>
      </c>
      <c r="E69" s="55" t="s">
        <v>46</v>
      </c>
      <c r="F69" s="1243" t="s">
        <v>104</v>
      </c>
      <c r="G69" s="51"/>
      <c r="H69" s="51"/>
      <c r="I69" s="18"/>
      <c r="J69" s="18"/>
      <c r="K69" s="18"/>
      <c r="L69" s="18"/>
      <c r="M69" s="18"/>
      <c r="N69" s="18"/>
    </row>
    <row r="70" spans="2:14" ht="14.4" x14ac:dyDescent="0.25">
      <c r="B70" s="1244"/>
      <c r="C70" s="55" t="s">
        <v>51</v>
      </c>
      <c r="D70" s="55" t="s">
        <v>72</v>
      </c>
      <c r="E70" s="55" t="s">
        <v>53</v>
      </c>
      <c r="F70" s="1244"/>
      <c r="G70" s="51"/>
      <c r="H70" s="51"/>
      <c r="I70" s="18"/>
      <c r="J70" s="18"/>
      <c r="K70" s="18"/>
      <c r="L70" s="18"/>
      <c r="M70" s="18"/>
      <c r="N70" s="18"/>
    </row>
    <row r="71" spans="2:14" x14ac:dyDescent="0.25">
      <c r="B71" s="100" t="s">
        <v>87</v>
      </c>
      <c r="C71" s="101">
        <f>SUMPRODUCT(D$24:D$28,$D$47:$D$51)</f>
        <v>63854.495999999999</v>
      </c>
      <c r="D71" s="101">
        <f>SUMPRODUCT(E$24:E$28,$D$47:$D$51)</f>
        <v>125049.88800000001</v>
      </c>
      <c r="E71" s="101">
        <f>SUMPRODUCT(F$24:F$28,$D$47:$D$51)</f>
        <v>459120.288</v>
      </c>
      <c r="F71" s="102">
        <f>E71*$C$37+D71*$D$37+C71*$E$37</f>
        <v>110988.07332623824</v>
      </c>
      <c r="G71" s="103"/>
      <c r="H71" s="104"/>
      <c r="I71" s="104"/>
      <c r="M71" s="25"/>
    </row>
    <row r="72" spans="2:14" x14ac:dyDescent="0.25">
      <c r="B72" s="68"/>
      <c r="C72" s="105"/>
      <c r="D72" s="68"/>
      <c r="E72" s="68"/>
      <c r="F72" s="68"/>
      <c r="G72" s="51"/>
      <c r="H72" s="106"/>
      <c r="I72" s="106"/>
    </row>
    <row r="73" spans="2:14" x14ac:dyDescent="0.25">
      <c r="B73" s="1241" t="s">
        <v>105</v>
      </c>
      <c r="C73" s="55" t="s">
        <v>44</v>
      </c>
      <c r="D73" s="55" t="s">
        <v>45</v>
      </c>
      <c r="E73" s="55" t="s">
        <v>46</v>
      </c>
      <c r="F73" s="1243" t="s">
        <v>104</v>
      </c>
      <c r="G73" s="51"/>
      <c r="H73" s="106"/>
      <c r="I73" s="106"/>
    </row>
    <row r="74" spans="2:14" x14ac:dyDescent="0.25">
      <c r="B74" s="1242"/>
      <c r="C74" s="55" t="s">
        <v>51</v>
      </c>
      <c r="D74" s="55" t="s">
        <v>72</v>
      </c>
      <c r="E74" s="55" t="s">
        <v>53</v>
      </c>
      <c r="F74" s="1244"/>
      <c r="G74" s="51"/>
      <c r="H74" s="106"/>
      <c r="I74" s="106"/>
    </row>
    <row r="75" spans="2:14" x14ac:dyDescent="0.25">
      <c r="B75" s="100" t="s">
        <v>87</v>
      </c>
      <c r="C75" s="101">
        <f>SUMPRODUCT(D$24:D$28,$E$47:$E$51)</f>
        <v>35918.154000000002</v>
      </c>
      <c r="D75" s="101">
        <f>SUMPRODUCT(E$24:E$28,$E$47:$E$51)</f>
        <v>70340.561999999991</v>
      </c>
      <c r="E75" s="101">
        <f>SUMPRODUCT(F$24:F$28,$E$47:$E$51)</f>
        <v>258255.16200000001</v>
      </c>
      <c r="F75" s="102">
        <f>E75*$C$37+D75*$D$37+C75*$E$37</f>
        <v>62430.791246009008</v>
      </c>
      <c r="G75" s="51"/>
      <c r="H75" s="104"/>
      <c r="I75" s="104"/>
    </row>
    <row r="76" spans="2:14" x14ac:dyDescent="0.25">
      <c r="B76" s="68"/>
      <c r="C76" s="68"/>
      <c r="D76" s="68"/>
      <c r="E76" s="68"/>
      <c r="F76" s="68"/>
      <c r="G76" s="51"/>
      <c r="H76" s="106"/>
      <c r="I76" s="106"/>
    </row>
    <row r="77" spans="2:14" x14ac:dyDescent="0.25">
      <c r="B77" s="1241" t="s">
        <v>106</v>
      </c>
      <c r="C77" s="55" t="s">
        <v>44</v>
      </c>
      <c r="D77" s="55" t="s">
        <v>45</v>
      </c>
      <c r="E77" s="55" t="s">
        <v>46</v>
      </c>
      <c r="F77" s="1243" t="s">
        <v>104</v>
      </c>
      <c r="G77" s="51"/>
      <c r="H77" s="106"/>
      <c r="I77" s="106"/>
    </row>
    <row r="78" spans="2:14" x14ac:dyDescent="0.25">
      <c r="B78" s="1242"/>
      <c r="C78" s="55" t="s">
        <v>51</v>
      </c>
      <c r="D78" s="55" t="s">
        <v>72</v>
      </c>
      <c r="E78" s="55" t="s">
        <v>53</v>
      </c>
      <c r="F78" s="1244"/>
      <c r="G78" s="51"/>
      <c r="H78" s="106"/>
      <c r="I78" s="106"/>
    </row>
    <row r="79" spans="2:14" x14ac:dyDescent="0.25">
      <c r="B79" s="100" t="s">
        <v>87</v>
      </c>
      <c r="C79" s="101">
        <f>SUMPRODUCT(D$24:D$28,$F$47:$F$51)</f>
        <v>89130.233999999997</v>
      </c>
      <c r="D79" s="101">
        <f>SUMPRODUCT(E$24:E$28,$F$47:$F$51)</f>
        <v>174548.802</v>
      </c>
      <c r="E79" s="101">
        <f>SUMPRODUCT(F$24:F$28,$F$47:$F$51)</f>
        <v>640855.402</v>
      </c>
      <c r="F79" s="102">
        <f>E79*$C$37+D79*$D$37+C79*$E$37</f>
        <v>154920.85235120752</v>
      </c>
      <c r="G79" s="51"/>
      <c r="H79" s="104"/>
      <c r="I79" s="104"/>
    </row>
    <row r="80" spans="2:14" x14ac:dyDescent="0.25">
      <c r="B80" s="51" t="s">
        <v>107</v>
      </c>
      <c r="C80" s="51"/>
      <c r="D80" s="51"/>
      <c r="E80" s="51"/>
      <c r="F80" s="51"/>
      <c r="G80" s="51"/>
      <c r="H80" s="51"/>
      <c r="I80" s="51"/>
    </row>
    <row r="81" spans="1:12" x14ac:dyDescent="0.25">
      <c r="B81" s="20" t="s">
        <v>108</v>
      </c>
      <c r="D81" s="99"/>
      <c r="G81" s="22"/>
    </row>
    <row r="82" spans="1:12" x14ac:dyDescent="0.25">
      <c r="B82" s="107" t="s">
        <v>109</v>
      </c>
      <c r="D82" s="99"/>
      <c r="G82" s="22"/>
    </row>
    <row r="83" spans="1:12" x14ac:dyDescent="0.25">
      <c r="B83" s="107"/>
      <c r="D83" s="99"/>
      <c r="G83" s="22"/>
    </row>
    <row r="84" spans="1:12" s="111" customFormat="1" x14ac:dyDescent="0.25">
      <c r="A84" s="12"/>
      <c r="B84" s="108" t="s">
        <v>110</v>
      </c>
      <c r="C84" s="109"/>
      <c r="D84" s="109"/>
      <c r="E84" s="109"/>
      <c r="F84" s="109"/>
      <c r="G84" s="110"/>
      <c r="K84" s="112"/>
      <c r="L84" s="112"/>
    </row>
    <row r="85" spans="1:12" x14ac:dyDescent="0.25">
      <c r="B85" s="14"/>
    </row>
    <row r="86" spans="1:12" x14ac:dyDescent="0.25">
      <c r="B86" s="21" t="s">
        <v>111</v>
      </c>
    </row>
    <row r="87" spans="1:12" x14ac:dyDescent="0.25">
      <c r="B87" s="36" t="s">
        <v>112</v>
      </c>
    </row>
    <row r="88" spans="1:12" x14ac:dyDescent="0.25">
      <c r="B88" s="36" t="s">
        <v>113</v>
      </c>
    </row>
    <row r="89" spans="1:12" x14ac:dyDescent="0.25">
      <c r="B89" s="36" t="s">
        <v>114</v>
      </c>
    </row>
    <row r="90" spans="1:12" x14ac:dyDescent="0.25">
      <c r="B90" s="36" t="s">
        <v>115</v>
      </c>
    </row>
    <row r="91" spans="1:12" x14ac:dyDescent="0.25">
      <c r="B91" s="36"/>
    </row>
    <row r="92" spans="1:12" x14ac:dyDescent="0.25">
      <c r="B92" s="21" t="s">
        <v>116</v>
      </c>
    </row>
    <row r="94" spans="1:12" x14ac:dyDescent="0.25">
      <c r="B94" s="91" t="s">
        <v>117</v>
      </c>
    </row>
    <row r="95" spans="1:12" x14ac:dyDescent="0.25">
      <c r="B95" s="91"/>
    </row>
    <row r="96" spans="1:12" x14ac:dyDescent="0.25">
      <c r="B96" s="21" t="s">
        <v>118</v>
      </c>
    </row>
    <row r="97" spans="2:5" x14ac:dyDescent="0.25">
      <c r="B97" s="20" t="s">
        <v>28</v>
      </c>
      <c r="C97" s="20" t="s">
        <v>119</v>
      </c>
    </row>
    <row r="98" spans="2:5" x14ac:dyDescent="0.25">
      <c r="B98" s="20" t="s">
        <v>30</v>
      </c>
      <c r="C98" s="20" t="s">
        <v>120</v>
      </c>
    </row>
    <row r="99" spans="2:5" x14ac:dyDescent="0.25">
      <c r="B99" s="20" t="s">
        <v>31</v>
      </c>
      <c r="C99" s="20" t="s">
        <v>121</v>
      </c>
    </row>
    <row r="100" spans="2:5" x14ac:dyDescent="0.25">
      <c r="B100" s="20" t="s">
        <v>32</v>
      </c>
      <c r="C100" s="20" t="s">
        <v>122</v>
      </c>
    </row>
    <row r="101" spans="2:5" x14ac:dyDescent="0.25">
      <c r="B101" s="20" t="s">
        <v>33</v>
      </c>
      <c r="C101" s="20" t="s">
        <v>123</v>
      </c>
    </row>
    <row r="102" spans="2:5" x14ac:dyDescent="0.25">
      <c r="B102" s="20" t="s">
        <v>124</v>
      </c>
    </row>
    <row r="103" spans="2:5" x14ac:dyDescent="0.25">
      <c r="B103" s="63" t="s">
        <v>125</v>
      </c>
    </row>
    <row r="105" spans="2:5" x14ac:dyDescent="0.25">
      <c r="B105" s="20" t="s">
        <v>126</v>
      </c>
    </row>
    <row r="106" spans="2:5" x14ac:dyDescent="0.25">
      <c r="B106" s="21" t="s">
        <v>127</v>
      </c>
    </row>
    <row r="107" spans="2:5" ht="31.45" x14ac:dyDescent="0.25">
      <c r="B107" s="113"/>
      <c r="C107" s="114" t="s">
        <v>128</v>
      </c>
      <c r="D107" s="114" t="s">
        <v>129</v>
      </c>
      <c r="E107" s="114" t="s">
        <v>130</v>
      </c>
    </row>
    <row r="108" spans="2:5" x14ac:dyDescent="0.25">
      <c r="B108" s="115" t="s">
        <v>131</v>
      </c>
      <c r="C108" s="116">
        <v>1</v>
      </c>
      <c r="D108" s="116">
        <v>1</v>
      </c>
      <c r="E108" s="116">
        <v>1</v>
      </c>
    </row>
    <row r="109" spans="2:5" x14ac:dyDescent="0.25">
      <c r="B109" s="115" t="s">
        <v>132</v>
      </c>
      <c r="C109" s="116">
        <v>2.3779999999999999E-2</v>
      </c>
      <c r="D109" s="116">
        <v>1.5259999999999999E-2</v>
      </c>
      <c r="E109" s="116">
        <v>1.0059999999999999E-2</v>
      </c>
    </row>
    <row r="110" spans="2:5" x14ac:dyDescent="0.25">
      <c r="B110" s="115" t="s">
        <v>133</v>
      </c>
      <c r="C110" s="116">
        <v>6.8599999999999998E-3</v>
      </c>
      <c r="D110" s="116">
        <v>4.4200000000000003E-3</v>
      </c>
      <c r="E110" s="116">
        <v>3.2599999999999999E-3</v>
      </c>
    </row>
    <row r="111" spans="2:5" x14ac:dyDescent="0.25">
      <c r="B111" s="115" t="s">
        <v>134</v>
      </c>
      <c r="C111" s="116">
        <v>5.0299999999999997E-3</v>
      </c>
      <c r="D111" s="116">
        <v>3.79E-3</v>
      </c>
      <c r="E111" s="116">
        <v>1.82E-3</v>
      </c>
    </row>
    <row r="112" spans="2:5" x14ac:dyDescent="0.25">
      <c r="B112" s="115" t="s">
        <v>135</v>
      </c>
      <c r="C112" s="116">
        <v>1.9599999999999999E-3</v>
      </c>
      <c r="D112" s="116">
        <v>2.3999999999999998E-3</v>
      </c>
      <c r="E112" s="116">
        <v>6.4000000000000005E-4</v>
      </c>
    </row>
    <row r="113" spans="2:6" x14ac:dyDescent="0.25">
      <c r="B113" s="115" t="s">
        <v>136</v>
      </c>
      <c r="C113" s="116">
        <v>5.77E-3</v>
      </c>
      <c r="D113" s="116">
        <v>1.048E-2</v>
      </c>
      <c r="E113" s="116">
        <v>2.8999999999999998E-3</v>
      </c>
    </row>
    <row r="114" spans="2:6" x14ac:dyDescent="0.25">
      <c r="B114" s="20" t="s">
        <v>137</v>
      </c>
    </row>
    <row r="117" spans="2:6" s="118" customFormat="1" x14ac:dyDescent="0.25">
      <c r="B117" s="117" t="s">
        <v>138</v>
      </c>
    </row>
    <row r="118" spans="2:6" x14ac:dyDescent="0.25">
      <c r="B118" s="20" t="s">
        <v>139</v>
      </c>
    </row>
    <row r="119" spans="2:6" x14ac:dyDescent="0.25">
      <c r="B119" s="20" t="s">
        <v>140</v>
      </c>
    </row>
    <row r="120" spans="2:6" x14ac:dyDescent="0.25">
      <c r="B120" s="20" t="s">
        <v>141</v>
      </c>
    </row>
    <row r="122" spans="2:6" x14ac:dyDescent="0.25">
      <c r="B122" s="21" t="s">
        <v>142</v>
      </c>
    </row>
    <row r="123" spans="2:6" x14ac:dyDescent="0.25">
      <c r="B123" s="21" t="s">
        <v>143</v>
      </c>
    </row>
    <row r="124" spans="2:6" x14ac:dyDescent="0.25">
      <c r="B124" s="113" t="s">
        <v>144</v>
      </c>
      <c r="C124" s="119" t="s">
        <v>145</v>
      </c>
      <c r="D124" s="119" t="s">
        <v>146</v>
      </c>
      <c r="E124" s="119" t="s">
        <v>147</v>
      </c>
      <c r="F124" s="119" t="s">
        <v>148</v>
      </c>
    </row>
    <row r="125" spans="2:6" x14ac:dyDescent="0.25">
      <c r="B125" s="115" t="s">
        <v>149</v>
      </c>
      <c r="C125" s="120">
        <v>1.0900000000000001</v>
      </c>
      <c r="D125" s="120">
        <v>1.08</v>
      </c>
      <c r="E125" s="120">
        <v>1.1399999999999999</v>
      </c>
      <c r="F125" s="120">
        <v>1.1100000000000001</v>
      </c>
    </row>
    <row r="126" spans="2:6" x14ac:dyDescent="0.25">
      <c r="F126" s="21"/>
    </row>
    <row r="127" spans="2:6" x14ac:dyDescent="0.25">
      <c r="B127" s="21" t="s">
        <v>150</v>
      </c>
      <c r="F127" s="21"/>
    </row>
    <row r="128" spans="2:6" x14ac:dyDescent="0.25">
      <c r="B128" s="21" t="s">
        <v>143</v>
      </c>
      <c r="F128" s="21"/>
    </row>
    <row r="129" spans="2:6" x14ac:dyDescent="0.25">
      <c r="B129" s="113" t="s">
        <v>144</v>
      </c>
      <c r="C129" s="119" t="s">
        <v>145</v>
      </c>
      <c r="D129" s="119" t="s">
        <v>146</v>
      </c>
      <c r="E129" s="119" t="s">
        <v>147</v>
      </c>
      <c r="F129" s="119" t="s">
        <v>148</v>
      </c>
    </row>
    <row r="130" spans="2:6" x14ac:dyDescent="0.25">
      <c r="B130" s="115" t="s">
        <v>149</v>
      </c>
      <c r="C130" s="120">
        <v>0.81</v>
      </c>
      <c r="D130" s="120">
        <v>0.82</v>
      </c>
      <c r="E130" s="120">
        <v>1.1200000000000001</v>
      </c>
      <c r="F130" s="120">
        <v>0.95</v>
      </c>
    </row>
    <row r="131" spans="2:6" x14ac:dyDescent="0.25">
      <c r="B131" s="115" t="s">
        <v>151</v>
      </c>
      <c r="C131" s="120">
        <v>1.44</v>
      </c>
      <c r="D131" s="120">
        <v>1.43</v>
      </c>
      <c r="E131" s="121">
        <v>1.5</v>
      </c>
      <c r="F131" s="120">
        <v>1.44</v>
      </c>
    </row>
    <row r="132" spans="2:6" x14ac:dyDescent="0.25">
      <c r="F132" s="21"/>
    </row>
    <row r="133" spans="2:6" x14ac:dyDescent="0.25">
      <c r="B133" s="21" t="s">
        <v>152</v>
      </c>
      <c r="F133" s="21"/>
    </row>
    <row r="134" spans="2:6" x14ac:dyDescent="0.25">
      <c r="B134" s="21" t="s">
        <v>143</v>
      </c>
      <c r="F134" s="21"/>
    </row>
    <row r="135" spans="2:6" x14ac:dyDescent="0.25">
      <c r="B135" s="113" t="s">
        <v>144</v>
      </c>
      <c r="C135" s="119" t="s">
        <v>145</v>
      </c>
      <c r="D135" s="119" t="s">
        <v>146</v>
      </c>
      <c r="E135" s="119" t="s">
        <v>147</v>
      </c>
      <c r="F135" s="119" t="s">
        <v>148</v>
      </c>
    </row>
    <row r="136" spans="2:6" x14ac:dyDescent="0.25">
      <c r="B136" s="115" t="s">
        <v>149</v>
      </c>
      <c r="C136" s="121">
        <v>1.51</v>
      </c>
      <c r="D136" s="121">
        <v>1.69</v>
      </c>
      <c r="E136" s="121">
        <v>1.58</v>
      </c>
      <c r="F136" s="121">
        <v>1.63</v>
      </c>
    </row>
    <row r="137" spans="2:6" x14ac:dyDescent="0.25">
      <c r="B137" s="115" t="s">
        <v>151</v>
      </c>
      <c r="C137" s="121">
        <v>1.82</v>
      </c>
      <c r="D137" s="121">
        <v>2.1</v>
      </c>
      <c r="E137" s="121">
        <v>1.59</v>
      </c>
      <c r="F137" s="121">
        <v>1.99</v>
      </c>
    </row>
    <row r="138" spans="2:6" x14ac:dyDescent="0.25">
      <c r="B138" s="115" t="s">
        <v>153</v>
      </c>
      <c r="C138" s="121">
        <v>1.8</v>
      </c>
      <c r="D138" s="121">
        <v>2.0299999999999998</v>
      </c>
      <c r="E138" s="121">
        <v>1.59</v>
      </c>
      <c r="F138" s="121">
        <v>1.96</v>
      </c>
    </row>
    <row r="139" spans="2:6" x14ac:dyDescent="0.25">
      <c r="F139" s="21"/>
    </row>
    <row r="140" spans="2:6" x14ac:dyDescent="0.25">
      <c r="B140" s="122" t="s">
        <v>154</v>
      </c>
    </row>
    <row r="142" spans="2:6" x14ac:dyDescent="0.25">
      <c r="B142" s="107"/>
    </row>
  </sheetData>
  <mergeCells count="8">
    <mergeCell ref="B77:B78"/>
    <mergeCell ref="F77:F78"/>
    <mergeCell ref="H5:H13"/>
    <mergeCell ref="I5:I13"/>
    <mergeCell ref="B69:B70"/>
    <mergeCell ref="F69:F70"/>
    <mergeCell ref="B73:B74"/>
    <mergeCell ref="F73:F74"/>
  </mergeCells>
  <hyperlinks>
    <hyperlink ref="I5" r:id="rId1"/>
    <hyperlink ref="B103" r:id="rId2"/>
    <hyperlink ref="P35" r:id="rId3"/>
  </hyperlinks>
  <pageMargins left="0.7" right="0.7" top="0.75" bottom="0.75" header="0.3" footer="0.3"/>
  <drawing r:id="rId4"/>
  <legacy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P90"/>
  <sheetViews>
    <sheetView workbookViewId="0"/>
  </sheetViews>
  <sheetFormatPr defaultColWidth="9" defaultRowHeight="10.5" x14ac:dyDescent="0.2"/>
  <cols>
    <col min="1" max="1" width="0.88671875" style="152" customWidth="1"/>
    <col min="2" max="2" width="51.21875" style="242" customWidth="1"/>
    <col min="3" max="5" width="10.6640625" style="97" customWidth="1"/>
    <col min="6" max="6" width="11.6640625" style="154" customWidth="1"/>
    <col min="7" max="7" width="12.33203125" style="155" customWidth="1"/>
    <col min="8" max="8" width="37" style="156" customWidth="1"/>
    <col min="9" max="9" width="23.33203125" style="156" customWidth="1"/>
    <col min="10" max="10" width="14.77734375" style="157" customWidth="1"/>
    <col min="11" max="11" width="9" style="158" customWidth="1"/>
    <col min="12" max="13" width="9" style="157"/>
    <col min="14" max="14" width="9" style="152"/>
    <col min="15" max="16" width="3.88671875" style="152" customWidth="1"/>
    <col min="17" max="16384" width="9" style="152"/>
  </cols>
  <sheetData>
    <row r="1" spans="1:16" s="131" customFormat="1" ht="13.1" x14ac:dyDescent="0.25">
      <c r="A1" s="123" t="s">
        <v>155</v>
      </c>
      <c r="B1" s="124"/>
      <c r="C1" s="125"/>
      <c r="D1" s="125"/>
      <c r="E1" s="125"/>
      <c r="F1" s="126"/>
      <c r="G1" s="127"/>
      <c r="H1" s="128"/>
      <c r="I1" s="128"/>
      <c r="J1" s="129"/>
      <c r="K1" s="130"/>
      <c r="L1" s="129"/>
      <c r="M1" s="129"/>
    </row>
    <row r="2" spans="1:16" s="132" customFormat="1" x14ac:dyDescent="0.2">
      <c r="B2" s="133"/>
      <c r="C2" s="134" t="s">
        <v>156</v>
      </c>
      <c r="D2" s="134" t="s">
        <v>19</v>
      </c>
      <c r="E2" s="134" t="s">
        <v>20</v>
      </c>
      <c r="F2" s="135" t="s">
        <v>21</v>
      </c>
      <c r="G2" s="136" t="s">
        <v>110</v>
      </c>
      <c r="H2" s="137" t="s">
        <v>2</v>
      </c>
      <c r="I2" s="138" t="s">
        <v>22</v>
      </c>
      <c r="K2" s="139"/>
    </row>
    <row r="3" spans="1:16" s="140" customFormat="1" x14ac:dyDescent="0.2">
      <c r="B3" s="141"/>
      <c r="C3" s="142"/>
      <c r="D3" s="142"/>
      <c r="E3" s="142"/>
      <c r="F3" s="143"/>
      <c r="G3" s="144"/>
      <c r="H3" s="145"/>
      <c r="I3" s="146"/>
      <c r="K3" s="147"/>
    </row>
    <row r="4" spans="1:16" s="148" customFormat="1" x14ac:dyDescent="0.25">
      <c r="B4" s="149" t="s">
        <v>157</v>
      </c>
      <c r="G4" s="150"/>
      <c r="H4" s="150"/>
      <c r="I4" s="150"/>
      <c r="J4" s="151"/>
    </row>
    <row r="5" spans="1:16" s="148" customFormat="1" x14ac:dyDescent="0.25">
      <c r="B5" s="148" t="s">
        <v>158</v>
      </c>
      <c r="G5" s="150"/>
      <c r="H5" s="150"/>
      <c r="I5" s="150"/>
      <c r="J5" s="151"/>
    </row>
    <row r="6" spans="1:16" x14ac:dyDescent="0.2">
      <c r="B6" s="153"/>
    </row>
    <row r="7" spans="1:16" x14ac:dyDescent="0.2">
      <c r="B7" s="159" t="s">
        <v>159</v>
      </c>
    </row>
    <row r="8" spans="1:16" x14ac:dyDescent="0.2">
      <c r="B8" s="160" t="s">
        <v>160</v>
      </c>
      <c r="D8" s="161"/>
      <c r="I8" s="162"/>
      <c r="J8" s="163"/>
      <c r="K8" s="163"/>
    </row>
    <row r="9" spans="1:16" x14ac:dyDescent="0.2">
      <c r="B9" s="164" t="s">
        <v>161</v>
      </c>
      <c r="C9" s="165">
        <v>13.6</v>
      </c>
      <c r="D9" s="166">
        <f>$C9*O9</f>
        <v>9.5089430894308933</v>
      </c>
      <c r="E9" s="166">
        <f t="shared" ref="D9:E11" si="0">$C9*P9</f>
        <v>16.253658536585366</v>
      </c>
      <c r="F9" s="167">
        <v>2015</v>
      </c>
      <c r="H9" s="1247" t="s">
        <v>162</v>
      </c>
      <c r="I9" s="1248" t="s">
        <v>163</v>
      </c>
      <c r="J9" s="163"/>
      <c r="K9" s="163"/>
      <c r="L9" s="168">
        <v>12.3</v>
      </c>
      <c r="M9" s="168">
        <v>8.6</v>
      </c>
      <c r="N9" s="168">
        <v>14.7</v>
      </c>
      <c r="O9" s="169">
        <f t="shared" ref="O9:P11" si="1">M9/$L9</f>
        <v>0.69918699186991862</v>
      </c>
      <c r="P9" s="169">
        <f t="shared" si="1"/>
        <v>1.1951219512195121</v>
      </c>
    </row>
    <row r="10" spans="1:16" x14ac:dyDescent="0.2">
      <c r="B10" s="164" t="s">
        <v>164</v>
      </c>
      <c r="C10" s="165">
        <v>25.4</v>
      </c>
      <c r="D10" s="166">
        <f t="shared" si="0"/>
        <v>20.341078838174273</v>
      </c>
      <c r="E10" s="166">
        <f t="shared" si="0"/>
        <v>30.564315352697093</v>
      </c>
      <c r="F10" s="170">
        <f>$F$9</f>
        <v>2015</v>
      </c>
      <c r="H10" s="1247"/>
      <c r="I10" s="1248"/>
      <c r="L10" s="168">
        <v>24.1</v>
      </c>
      <c r="M10" s="168">
        <v>19.3</v>
      </c>
      <c r="N10" s="168">
        <v>29</v>
      </c>
      <c r="O10" s="169">
        <f t="shared" si="1"/>
        <v>0.80082987551867213</v>
      </c>
      <c r="P10" s="169">
        <f t="shared" si="1"/>
        <v>1.2033195020746887</v>
      </c>
    </row>
    <row r="11" spans="1:16" x14ac:dyDescent="0.2">
      <c r="B11" s="164" t="s">
        <v>165</v>
      </c>
      <c r="C11" s="165">
        <v>14.1</v>
      </c>
      <c r="D11" s="166">
        <f t="shared" si="0"/>
        <v>10.024218749999998</v>
      </c>
      <c r="E11" s="166">
        <f t="shared" si="0"/>
        <v>16.964062500000001</v>
      </c>
      <c r="F11" s="170">
        <f>$F$9</f>
        <v>2015</v>
      </c>
      <c r="H11" s="1247"/>
      <c r="I11" s="1248"/>
      <c r="L11" s="168">
        <v>12.8</v>
      </c>
      <c r="M11" s="168">
        <v>9.1</v>
      </c>
      <c r="N11" s="168">
        <v>15.4</v>
      </c>
      <c r="O11" s="169">
        <f t="shared" si="1"/>
        <v>0.71093749999999989</v>
      </c>
      <c r="P11" s="169">
        <f t="shared" si="1"/>
        <v>1.203125</v>
      </c>
    </row>
    <row r="12" spans="1:16" x14ac:dyDescent="0.2">
      <c r="B12" s="171" t="s">
        <v>166</v>
      </c>
      <c r="C12" s="172"/>
      <c r="D12" s="172"/>
      <c r="E12" s="172"/>
      <c r="H12" s="1247"/>
      <c r="I12" s="1248"/>
      <c r="L12" s="173"/>
      <c r="M12" s="173"/>
      <c r="N12" s="173"/>
    </row>
    <row r="13" spans="1:16" x14ac:dyDescent="0.2">
      <c r="B13" s="164" t="s">
        <v>161</v>
      </c>
      <c r="C13" s="172"/>
      <c r="D13" s="172"/>
      <c r="E13" s="172"/>
      <c r="H13" s="1247"/>
      <c r="I13" s="1248"/>
      <c r="L13" s="173"/>
      <c r="M13" s="173"/>
      <c r="N13" s="173"/>
    </row>
    <row r="14" spans="1:16" x14ac:dyDescent="0.2">
      <c r="B14" s="174" t="s">
        <v>167</v>
      </c>
      <c r="C14" s="165">
        <v>19</v>
      </c>
      <c r="D14" s="166">
        <f>$C14*O14</f>
        <v>16.238372093023255</v>
      </c>
      <c r="E14" s="166">
        <f>$C14*P14</f>
        <v>24.412790697674421</v>
      </c>
      <c r="F14" s="170">
        <f>$F$9</f>
        <v>2015</v>
      </c>
      <c r="H14" s="1247"/>
      <c r="I14" s="1248"/>
      <c r="L14" s="168">
        <v>17.2</v>
      </c>
      <c r="M14" s="168">
        <v>14.7</v>
      </c>
      <c r="N14" s="168">
        <v>22.1</v>
      </c>
      <c r="O14" s="169">
        <f>M14/$L14</f>
        <v>0.85465116279069764</v>
      </c>
      <c r="P14" s="169">
        <f>N14/$L14</f>
        <v>1.2848837209302326</v>
      </c>
    </row>
    <row r="15" spans="1:16" x14ac:dyDescent="0.2">
      <c r="B15" s="174" t="s">
        <v>168</v>
      </c>
      <c r="C15" s="165">
        <v>36.1</v>
      </c>
      <c r="D15" s="166">
        <f>$C15*O15</f>
        <v>31.006134969325153</v>
      </c>
      <c r="E15" s="166">
        <f>$C15*P15</f>
        <v>46.398466257668709</v>
      </c>
      <c r="F15" s="170">
        <f>$F$9</f>
        <v>2015</v>
      </c>
      <c r="H15" s="1247"/>
      <c r="I15" s="1248"/>
      <c r="L15" s="168">
        <v>32.6</v>
      </c>
      <c r="M15" s="168">
        <v>28</v>
      </c>
      <c r="N15" s="168">
        <v>41.9</v>
      </c>
      <c r="O15" s="169">
        <f>M15/$L15</f>
        <v>0.85889570552147232</v>
      </c>
      <c r="P15" s="169">
        <f>N15/$L15</f>
        <v>1.2852760736196318</v>
      </c>
    </row>
    <row r="16" spans="1:16" x14ac:dyDescent="0.2">
      <c r="B16" s="164" t="s">
        <v>164</v>
      </c>
      <c r="C16" s="172"/>
      <c r="D16" s="172"/>
      <c r="E16" s="172"/>
      <c r="G16" s="175"/>
      <c r="H16" s="1247"/>
      <c r="I16" s="1248"/>
      <c r="L16" s="173"/>
      <c r="M16" s="173"/>
      <c r="N16" s="173"/>
    </row>
    <row r="17" spans="1:16" x14ac:dyDescent="0.2">
      <c r="B17" s="174" t="s">
        <v>167</v>
      </c>
      <c r="C17" s="165">
        <v>25.4</v>
      </c>
      <c r="D17" s="166">
        <f>$C17*O17</f>
        <v>20.341078838174273</v>
      </c>
      <c r="E17" s="166">
        <f>$C17*P17</f>
        <v>30.564315352697093</v>
      </c>
      <c r="F17" s="170">
        <f>$F$9</f>
        <v>2015</v>
      </c>
      <c r="H17" s="1247"/>
      <c r="I17" s="1248"/>
      <c r="L17" s="168">
        <v>24.1</v>
      </c>
      <c r="M17" s="168">
        <v>19.3</v>
      </c>
      <c r="N17" s="168">
        <v>29</v>
      </c>
      <c r="O17" s="169">
        <f>M17/$L17</f>
        <v>0.80082987551867213</v>
      </c>
      <c r="P17" s="169">
        <f>N17/$L17</f>
        <v>1.2033195020746887</v>
      </c>
    </row>
    <row r="18" spans="1:16" x14ac:dyDescent="0.2">
      <c r="B18" s="174" t="s">
        <v>168</v>
      </c>
      <c r="C18" s="165">
        <v>63.2</v>
      </c>
      <c r="D18" s="166">
        <f>$C18*O18</f>
        <v>50.56</v>
      </c>
      <c r="E18" s="166">
        <f>$C18*P18</f>
        <v>75.84</v>
      </c>
      <c r="F18" s="170">
        <f>$F$9</f>
        <v>2015</v>
      </c>
      <c r="H18" s="1247"/>
      <c r="I18" s="1248"/>
      <c r="L18" s="168">
        <v>60</v>
      </c>
      <c r="M18" s="168">
        <v>48</v>
      </c>
      <c r="N18" s="168">
        <v>72</v>
      </c>
      <c r="O18" s="169">
        <f>M18/$L18</f>
        <v>0.8</v>
      </c>
      <c r="P18" s="169">
        <f>N18/$L18</f>
        <v>1.2</v>
      </c>
    </row>
    <row r="19" spans="1:16" x14ac:dyDescent="0.2">
      <c r="B19" s="164" t="s">
        <v>165</v>
      </c>
      <c r="C19" s="172"/>
      <c r="D19" s="172"/>
      <c r="E19" s="172"/>
      <c r="F19" s="170"/>
      <c r="H19" s="1247"/>
      <c r="I19" s="1248"/>
      <c r="L19" s="176"/>
      <c r="M19" s="177"/>
      <c r="N19" s="177"/>
    </row>
    <row r="20" spans="1:16" x14ac:dyDescent="0.2">
      <c r="B20" s="174" t="s">
        <v>167</v>
      </c>
      <c r="C20" s="165">
        <v>20.399999999999999</v>
      </c>
      <c r="D20" s="166">
        <f>$C20*O20</f>
        <v>17.127272727272725</v>
      </c>
      <c r="E20" s="166">
        <f>$C20*P20</f>
        <v>25.745454545454546</v>
      </c>
      <c r="F20" s="170">
        <f>$F$9</f>
        <v>2015</v>
      </c>
      <c r="H20" s="1247"/>
      <c r="I20" s="1248"/>
      <c r="L20" s="168">
        <v>18.7</v>
      </c>
      <c r="M20" s="168">
        <v>15.7</v>
      </c>
      <c r="N20" s="168">
        <v>23.6</v>
      </c>
      <c r="O20" s="169">
        <f>M20/$L20</f>
        <v>0.83957219251336901</v>
      </c>
      <c r="P20" s="169">
        <f>N20/$L20</f>
        <v>1.2620320855614975</v>
      </c>
    </row>
    <row r="21" spans="1:16" x14ac:dyDescent="0.2">
      <c r="B21" s="174" t="s">
        <v>168</v>
      </c>
      <c r="C21" s="165">
        <v>47.1</v>
      </c>
      <c r="D21" s="166">
        <f>$C21*O21</f>
        <v>38.908695652173911</v>
      </c>
      <c r="E21" s="166">
        <f>$C21*P21</f>
        <v>58.309153318077797</v>
      </c>
      <c r="F21" s="170">
        <f>$F$9</f>
        <v>2015</v>
      </c>
      <c r="H21" s="1247"/>
      <c r="I21" s="1248"/>
      <c r="J21" s="158"/>
      <c r="K21" s="157"/>
      <c r="L21" s="168">
        <v>43.7</v>
      </c>
      <c r="M21" s="168">
        <v>36.1</v>
      </c>
      <c r="N21" s="168">
        <v>54.1</v>
      </c>
      <c r="O21" s="169">
        <f>M21/$L21</f>
        <v>0.82608695652173914</v>
      </c>
      <c r="P21" s="169">
        <f>N21/$L21</f>
        <v>1.2379862700228832</v>
      </c>
    </row>
    <row r="22" spans="1:16" x14ac:dyDescent="0.2">
      <c r="B22" s="171" t="s">
        <v>169</v>
      </c>
      <c r="C22" s="178"/>
      <c r="D22" s="178"/>
      <c r="E22" s="178"/>
      <c r="H22" s="1247"/>
      <c r="I22" s="1248"/>
      <c r="J22" s="158"/>
      <c r="K22" s="157"/>
      <c r="L22" s="179"/>
      <c r="M22" s="177"/>
      <c r="N22" s="177"/>
    </row>
    <row r="23" spans="1:16" x14ac:dyDescent="0.2">
      <c r="B23" s="164" t="s">
        <v>170</v>
      </c>
      <c r="C23" s="165">
        <v>27.2</v>
      </c>
      <c r="D23" s="166">
        <f t="shared" ref="D23:E27" si="2">$C23*O23</f>
        <v>21.738582677165354</v>
      </c>
      <c r="E23" s="166">
        <f t="shared" si="2"/>
        <v>32.661417322834644</v>
      </c>
      <c r="F23" s="170">
        <f>$F$9</f>
        <v>2015</v>
      </c>
      <c r="H23" s="1247"/>
      <c r="I23" s="1248"/>
      <c r="L23" s="168">
        <v>25.4</v>
      </c>
      <c r="M23" s="168">
        <v>20.3</v>
      </c>
      <c r="N23" s="168">
        <v>30.5</v>
      </c>
      <c r="O23" s="169">
        <f t="shared" ref="O23:P27" si="3">M23/$L23</f>
        <v>0.79921259842519687</v>
      </c>
      <c r="P23" s="169">
        <f t="shared" si="3"/>
        <v>1.2007874015748032</v>
      </c>
    </row>
    <row r="24" spans="1:16" x14ac:dyDescent="0.2">
      <c r="B24" s="164" t="s">
        <v>171</v>
      </c>
      <c r="C24" s="165">
        <v>28.3</v>
      </c>
      <c r="D24" s="166">
        <f t="shared" si="2"/>
        <v>22.618560606060608</v>
      </c>
      <c r="E24" s="166">
        <f t="shared" si="2"/>
        <v>33.874242424242425</v>
      </c>
      <c r="F24" s="170">
        <f>$F$9</f>
        <v>2015</v>
      </c>
      <c r="H24" s="1247"/>
      <c r="I24" s="1248"/>
      <c r="L24" s="168">
        <v>26.4</v>
      </c>
      <c r="M24" s="168">
        <v>21.1</v>
      </c>
      <c r="N24" s="168">
        <v>31.6</v>
      </c>
      <c r="O24" s="169">
        <f t="shared" si="3"/>
        <v>0.79924242424242431</v>
      </c>
      <c r="P24" s="169">
        <f t="shared" si="3"/>
        <v>1.196969696969697</v>
      </c>
    </row>
    <row r="25" spans="1:16" x14ac:dyDescent="0.2">
      <c r="B25" s="164" t="s">
        <v>172</v>
      </c>
      <c r="C25" s="165">
        <v>46.1</v>
      </c>
      <c r="D25" s="166">
        <f t="shared" si="2"/>
        <v>36.920796460176994</v>
      </c>
      <c r="E25" s="166">
        <f t="shared" si="2"/>
        <v>55.279203539823008</v>
      </c>
      <c r="F25" s="170">
        <f>$F$9</f>
        <v>2015</v>
      </c>
      <c r="H25" s="1247"/>
      <c r="I25" s="1248"/>
      <c r="L25" s="168">
        <v>45.2</v>
      </c>
      <c r="M25" s="168">
        <v>36.200000000000003</v>
      </c>
      <c r="N25" s="168">
        <v>54.2</v>
      </c>
      <c r="O25" s="169">
        <f t="shared" si="3"/>
        <v>0.80088495575221241</v>
      </c>
      <c r="P25" s="169">
        <f t="shared" si="3"/>
        <v>1.1991150442477876</v>
      </c>
    </row>
    <row r="26" spans="1:16" x14ac:dyDescent="0.2">
      <c r="B26" s="164" t="s">
        <v>173</v>
      </c>
      <c r="C26" s="165">
        <v>41.6</v>
      </c>
      <c r="D26" s="166">
        <f t="shared" si="2"/>
        <v>33.213793103448275</v>
      </c>
      <c r="E26" s="166">
        <f t="shared" si="2"/>
        <v>49.875862068965517</v>
      </c>
      <c r="F26" s="170">
        <f>$F$9</f>
        <v>2015</v>
      </c>
      <c r="H26" s="1247"/>
      <c r="I26" s="1248"/>
      <c r="L26" s="168">
        <v>37.700000000000003</v>
      </c>
      <c r="M26" s="168">
        <v>30.1</v>
      </c>
      <c r="N26" s="168">
        <v>45.2</v>
      </c>
      <c r="O26" s="169">
        <f t="shared" si="3"/>
        <v>0.79840848806366049</v>
      </c>
      <c r="P26" s="169">
        <f t="shared" si="3"/>
        <v>1.1989389920424403</v>
      </c>
    </row>
    <row r="27" spans="1:16" x14ac:dyDescent="0.2">
      <c r="B27" s="164" t="s">
        <v>174</v>
      </c>
      <c r="C27" s="165">
        <v>86.7</v>
      </c>
      <c r="D27" s="166">
        <f t="shared" si="2"/>
        <v>69.317861482381531</v>
      </c>
      <c r="E27" s="166">
        <f t="shared" si="2"/>
        <v>103.9767922235723</v>
      </c>
      <c r="F27" s="170">
        <f>$F$9</f>
        <v>2015</v>
      </c>
      <c r="H27" s="1247"/>
      <c r="I27" s="1248"/>
      <c r="L27" s="168">
        <v>82.3</v>
      </c>
      <c r="M27" s="168">
        <v>65.8</v>
      </c>
      <c r="N27" s="168">
        <v>98.7</v>
      </c>
      <c r="O27" s="169">
        <f>M27/$L27</f>
        <v>0.7995139732685298</v>
      </c>
      <c r="P27" s="169">
        <f t="shared" si="3"/>
        <v>1.1992709599027946</v>
      </c>
    </row>
    <row r="30" spans="1:16" s="184" customFormat="1" x14ac:dyDescent="0.2">
      <c r="A30" s="180"/>
      <c r="B30" s="181" t="s">
        <v>81</v>
      </c>
      <c r="C30" s="180"/>
      <c r="D30" s="180"/>
      <c r="E30" s="180"/>
      <c r="F30" s="180"/>
      <c r="G30" s="182"/>
      <c r="H30" s="182"/>
      <c r="I30" s="182"/>
      <c r="J30" s="180"/>
      <c r="K30" s="180"/>
      <c r="L30" s="180"/>
      <c r="M30" s="183"/>
    </row>
    <row r="31" spans="1:16" s="184" customFormat="1" x14ac:dyDescent="0.2">
      <c r="A31" s="180"/>
      <c r="B31" s="181"/>
      <c r="C31" s="180"/>
      <c r="D31" s="180"/>
      <c r="E31" s="180"/>
      <c r="F31" s="180"/>
      <c r="G31" s="182"/>
      <c r="H31" s="182"/>
      <c r="I31" s="182"/>
      <c r="J31" s="180"/>
      <c r="K31" s="180"/>
      <c r="L31" s="180"/>
      <c r="M31" s="183"/>
    </row>
    <row r="32" spans="1:16" x14ac:dyDescent="0.2">
      <c r="B32" s="159" t="s">
        <v>159</v>
      </c>
      <c r="H32" s="185"/>
      <c r="I32" s="186"/>
      <c r="J32" s="187"/>
    </row>
    <row r="33" spans="2:13" x14ac:dyDescent="0.2">
      <c r="B33" s="160" t="s">
        <v>160</v>
      </c>
      <c r="D33" s="161"/>
      <c r="H33" s="186"/>
      <c r="I33" s="188"/>
      <c r="J33" s="189" t="s">
        <v>175</v>
      </c>
      <c r="K33" s="190">
        <f>C34/C9</f>
        <v>1.0882352941176472</v>
      </c>
      <c r="M33" s="191">
        <f>K33-1</f>
        <v>8.8235294117647189E-2</v>
      </c>
    </row>
    <row r="34" spans="2:13" x14ac:dyDescent="0.2">
      <c r="B34" s="164" t="s">
        <v>161</v>
      </c>
      <c r="C34" s="192">
        <v>14.8</v>
      </c>
      <c r="D34" s="193">
        <f t="shared" ref="D34:E36" si="4">$C34*O9</f>
        <v>10.347967479674796</v>
      </c>
      <c r="E34" s="193">
        <f t="shared" si="4"/>
        <v>17.68780487804878</v>
      </c>
      <c r="F34" s="167">
        <v>2017</v>
      </c>
      <c r="H34" s="156" t="s">
        <v>176</v>
      </c>
      <c r="I34" s="152"/>
      <c r="J34" s="152"/>
      <c r="K34" s="152"/>
      <c r="L34" s="152"/>
      <c r="M34" s="152"/>
    </row>
    <row r="35" spans="2:13" x14ac:dyDescent="0.2">
      <c r="B35" s="164" t="s">
        <v>164</v>
      </c>
      <c r="C35" s="192">
        <v>26.5</v>
      </c>
      <c r="D35" s="193">
        <f t="shared" si="4"/>
        <v>21.221991701244811</v>
      </c>
      <c r="E35" s="193">
        <f t="shared" si="4"/>
        <v>31.88796680497925</v>
      </c>
      <c r="F35" s="170">
        <v>2017</v>
      </c>
      <c r="H35" s="156" t="s">
        <v>176</v>
      </c>
    </row>
    <row r="36" spans="2:13" x14ac:dyDescent="0.2">
      <c r="B36" s="164" t="s">
        <v>165</v>
      </c>
      <c r="C36" s="192">
        <v>16.100000000000001</v>
      </c>
      <c r="D36" s="193">
        <f t="shared" si="4"/>
        <v>11.446093749999999</v>
      </c>
      <c r="E36" s="193">
        <f t="shared" si="4"/>
        <v>19.370312500000001</v>
      </c>
      <c r="F36" s="170">
        <v>2017</v>
      </c>
      <c r="H36" s="156" t="s">
        <v>176</v>
      </c>
      <c r="I36" s="157"/>
      <c r="K36" s="194"/>
      <c r="M36" s="195"/>
    </row>
    <row r="37" spans="2:13" x14ac:dyDescent="0.2">
      <c r="B37" s="171" t="s">
        <v>166</v>
      </c>
      <c r="C37" s="196"/>
      <c r="D37" s="196"/>
      <c r="E37" s="196"/>
      <c r="I37" s="152"/>
      <c r="K37" s="197"/>
      <c r="M37" s="198"/>
    </row>
    <row r="38" spans="2:13" x14ac:dyDescent="0.2">
      <c r="B38" s="164" t="s">
        <v>161</v>
      </c>
      <c r="C38" s="196"/>
      <c r="D38" s="196"/>
      <c r="E38" s="196"/>
      <c r="I38" s="157"/>
      <c r="K38" s="199"/>
      <c r="M38" s="195"/>
    </row>
    <row r="39" spans="2:13" x14ac:dyDescent="0.2">
      <c r="B39" s="174" t="s">
        <v>167</v>
      </c>
      <c r="C39" s="192">
        <f>C14*K33</f>
        <v>20.676470588235297</v>
      </c>
      <c r="D39" s="193">
        <f>$C39*O14</f>
        <v>17.671169630642957</v>
      </c>
      <c r="E39" s="193">
        <f>$C39*P14</f>
        <v>26.566860465116285</v>
      </c>
      <c r="F39" s="170">
        <v>2017</v>
      </c>
      <c r="H39" s="156" t="s">
        <v>177</v>
      </c>
      <c r="M39" s="198"/>
    </row>
    <row r="40" spans="2:13" x14ac:dyDescent="0.2">
      <c r="B40" s="174" t="s">
        <v>168</v>
      </c>
      <c r="C40" s="192">
        <v>39.200000000000003</v>
      </c>
      <c r="D40" s="193">
        <f>$C40*O15</f>
        <v>33.668711656441715</v>
      </c>
      <c r="E40" s="193">
        <f>$C40*P15</f>
        <v>50.382822085889572</v>
      </c>
      <c r="F40" s="170">
        <v>2017</v>
      </c>
      <c r="H40" s="156" t="s">
        <v>176</v>
      </c>
      <c r="I40" s="152"/>
      <c r="J40" s="152"/>
      <c r="K40" s="152"/>
      <c r="L40" s="152"/>
      <c r="M40" s="152"/>
    </row>
    <row r="41" spans="2:13" x14ac:dyDescent="0.2">
      <c r="B41" s="164" t="s">
        <v>164</v>
      </c>
      <c r="C41" s="196"/>
      <c r="D41" s="196"/>
      <c r="E41" s="196"/>
      <c r="I41" s="152"/>
      <c r="J41" s="152"/>
      <c r="K41" s="152"/>
    </row>
    <row r="42" spans="2:13" x14ac:dyDescent="0.2">
      <c r="B42" s="174" t="s">
        <v>167</v>
      </c>
      <c r="C42" s="192">
        <f>C17*K33</f>
        <v>27.641176470588238</v>
      </c>
      <c r="D42" s="193">
        <f>$C42*O17</f>
        <v>22.135879912130829</v>
      </c>
      <c r="E42" s="193">
        <f>$C42*P17</f>
        <v>33.261166707346838</v>
      </c>
      <c r="F42" s="170">
        <v>2017</v>
      </c>
      <c r="H42" s="156" t="s">
        <v>177</v>
      </c>
      <c r="I42" s="152"/>
      <c r="J42" s="152"/>
      <c r="K42" s="152"/>
    </row>
    <row r="43" spans="2:13" x14ac:dyDescent="0.2">
      <c r="B43" s="174" t="s">
        <v>168</v>
      </c>
      <c r="C43" s="192">
        <v>66</v>
      </c>
      <c r="D43" s="193">
        <f>$C43*O18</f>
        <v>52.800000000000004</v>
      </c>
      <c r="E43" s="193">
        <f>$C43*P18</f>
        <v>79.2</v>
      </c>
      <c r="F43" s="170">
        <v>2017</v>
      </c>
      <c r="H43" s="156" t="s">
        <v>176</v>
      </c>
      <c r="I43" s="200"/>
      <c r="J43" s="152"/>
      <c r="K43" s="152"/>
    </row>
    <row r="44" spans="2:13" x14ac:dyDescent="0.2">
      <c r="B44" s="164" t="s">
        <v>165</v>
      </c>
      <c r="C44" s="201"/>
      <c r="D44" s="201"/>
      <c r="E44" s="201"/>
      <c r="F44" s="170"/>
      <c r="I44" s="202"/>
    </row>
    <row r="45" spans="2:13" x14ac:dyDescent="0.2">
      <c r="B45" s="174" t="s">
        <v>167</v>
      </c>
      <c r="C45" s="192">
        <v>20.7</v>
      </c>
      <c r="D45" s="193">
        <f>$C45*O20</f>
        <v>17.379144385026738</v>
      </c>
      <c r="E45" s="193">
        <f>$C45*P20</f>
        <v>26.124064171122996</v>
      </c>
      <c r="F45" s="170">
        <v>2017</v>
      </c>
      <c r="H45" s="156" t="s">
        <v>176</v>
      </c>
    </row>
    <row r="46" spans="2:13" x14ac:dyDescent="0.2">
      <c r="B46" s="174" t="s">
        <v>168</v>
      </c>
      <c r="C46" s="192">
        <f>C21*K33</f>
        <v>51.255882352941185</v>
      </c>
      <c r="D46" s="193">
        <f>$C46*O21</f>
        <v>42.341815856777501</v>
      </c>
      <c r="E46" s="193">
        <f>$C46*P21</f>
        <v>63.454078610849379</v>
      </c>
      <c r="F46" s="170">
        <v>2017</v>
      </c>
      <c r="H46" s="156" t="s">
        <v>177</v>
      </c>
    </row>
    <row r="47" spans="2:13" x14ac:dyDescent="0.2">
      <c r="B47" s="171" t="s">
        <v>169</v>
      </c>
      <c r="C47" s="201"/>
      <c r="D47" s="201"/>
      <c r="E47" s="201"/>
    </row>
    <row r="48" spans="2:13" x14ac:dyDescent="0.2">
      <c r="B48" s="164" t="s">
        <v>170</v>
      </c>
      <c r="C48" s="192">
        <v>28.6</v>
      </c>
      <c r="D48" s="193">
        <f t="shared" ref="D48:E52" si="5">$C48*O23</f>
        <v>22.857480314960632</v>
      </c>
      <c r="E48" s="193">
        <f>$C48*P23</f>
        <v>34.342519685039377</v>
      </c>
      <c r="F48" s="170">
        <v>2017</v>
      </c>
      <c r="H48" s="156" t="s">
        <v>176</v>
      </c>
    </row>
    <row r="49" spans="1:13" x14ac:dyDescent="0.2">
      <c r="B49" s="164" t="s">
        <v>171</v>
      </c>
      <c r="C49" s="192">
        <v>30</v>
      </c>
      <c r="D49" s="193">
        <f>$C49*O24</f>
        <v>23.97727272727273</v>
      </c>
      <c r="E49" s="193">
        <f t="shared" si="5"/>
        <v>35.909090909090914</v>
      </c>
      <c r="F49" s="170">
        <v>2017</v>
      </c>
      <c r="H49" s="156" t="s">
        <v>176</v>
      </c>
    </row>
    <row r="50" spans="1:13" x14ac:dyDescent="0.2">
      <c r="B50" s="164" t="s">
        <v>172</v>
      </c>
      <c r="C50" s="192">
        <v>48.9</v>
      </c>
      <c r="D50" s="193">
        <f t="shared" si="5"/>
        <v>39.163274336283187</v>
      </c>
      <c r="E50" s="193">
        <f t="shared" si="5"/>
        <v>58.63672566371681</v>
      </c>
      <c r="F50" s="170">
        <v>2017</v>
      </c>
      <c r="H50" s="156" t="s">
        <v>176</v>
      </c>
    </row>
    <row r="51" spans="1:13" x14ac:dyDescent="0.2">
      <c r="B51" s="164" t="s">
        <v>173</v>
      </c>
      <c r="C51" s="192">
        <v>44.9</v>
      </c>
      <c r="D51" s="193">
        <f t="shared" si="5"/>
        <v>35.848541114058357</v>
      </c>
      <c r="E51" s="193">
        <f t="shared" si="5"/>
        <v>53.832360742705568</v>
      </c>
      <c r="F51" s="170">
        <v>2017</v>
      </c>
      <c r="H51" s="156" t="s">
        <v>176</v>
      </c>
    </row>
    <row r="52" spans="1:13" x14ac:dyDescent="0.2">
      <c r="B52" s="164" t="s">
        <v>174</v>
      </c>
      <c r="C52" s="192">
        <f>C27*K33</f>
        <v>94.350000000000009</v>
      </c>
      <c r="D52" s="193">
        <f t="shared" si="5"/>
        <v>75.434143377885789</v>
      </c>
      <c r="E52" s="193">
        <f t="shared" si="5"/>
        <v>113.15121506682868</v>
      </c>
      <c r="F52" s="170">
        <v>2017</v>
      </c>
      <c r="H52" s="156" t="s">
        <v>177</v>
      </c>
    </row>
    <row r="54" spans="1:13" ht="24.75" customHeight="1" x14ac:dyDescent="0.2">
      <c r="B54" s="1249" t="s">
        <v>178</v>
      </c>
      <c r="C54" s="1250"/>
      <c r="D54" s="1250"/>
      <c r="E54" s="1250"/>
      <c r="F54" s="1250"/>
      <c r="G54" s="1250"/>
      <c r="H54" s="1250"/>
      <c r="I54" s="1251"/>
    </row>
    <row r="56" spans="1:13" s="203" customFormat="1" x14ac:dyDescent="0.2">
      <c r="B56" s="204" t="s">
        <v>110</v>
      </c>
      <c r="C56" s="205"/>
      <c r="D56" s="205"/>
      <c r="E56" s="205"/>
      <c r="F56" s="206"/>
      <c r="G56" s="207"/>
      <c r="H56" s="208"/>
      <c r="I56" s="208"/>
      <c r="J56" s="209"/>
      <c r="K56" s="130"/>
      <c r="L56" s="209"/>
      <c r="M56" s="209"/>
    </row>
    <row r="57" spans="1:13" s="210" customFormat="1" x14ac:dyDescent="0.2">
      <c r="B57" s="211"/>
      <c r="C57" s="212"/>
      <c r="D57" s="212"/>
      <c r="E57" s="212"/>
      <c r="F57" s="213"/>
      <c r="G57" s="214"/>
      <c r="H57" s="215"/>
      <c r="I57" s="215"/>
      <c r="J57" s="216"/>
      <c r="K57" s="217"/>
      <c r="L57" s="216"/>
      <c r="M57" s="216"/>
    </row>
    <row r="58" spans="1:13" s="210" customFormat="1" x14ac:dyDescent="0.2">
      <c r="B58" s="218" t="s">
        <v>179</v>
      </c>
      <c r="C58" s="212"/>
      <c r="D58" s="212"/>
      <c r="E58" s="212"/>
      <c r="F58" s="213"/>
      <c r="G58" s="214"/>
      <c r="H58" s="215"/>
      <c r="I58" s="215"/>
      <c r="J58" s="216"/>
      <c r="K58" s="217"/>
      <c r="L58" s="216"/>
      <c r="M58" s="216"/>
    </row>
    <row r="59" spans="1:13" s="210" customFormat="1" x14ac:dyDescent="0.2">
      <c r="B59" s="219"/>
      <c r="C59" s="212"/>
      <c r="D59" s="212"/>
      <c r="E59" s="212"/>
      <c r="F59" s="213"/>
      <c r="G59" s="214"/>
      <c r="H59" s="215"/>
      <c r="I59" s="215"/>
      <c r="J59" s="216"/>
      <c r="K59" s="217"/>
      <c r="L59" s="216"/>
      <c r="M59" s="216"/>
    </row>
    <row r="60" spans="1:13" x14ac:dyDescent="0.2">
      <c r="A60" s="220"/>
      <c r="B60" s="221" t="str">
        <f>"Surface figures apply to all combinations of in-vehicle and other transit time. Walk access, waiting, transfer and standing time should be valued at $28.40 (in 2017$) when actions affect only those elements of travel time."</f>
        <v>Surface figures apply to all combinations of in-vehicle and other transit time. Walk access, waiting, transfer and standing time should be valued at $28.40 (in 2017$) when actions affect only those elements of travel time.</v>
      </c>
      <c r="J60" s="156"/>
      <c r="K60" s="222"/>
    </row>
    <row r="61" spans="1:13" s="220" customFormat="1" x14ac:dyDescent="0.2">
      <c r="B61" s="218"/>
      <c r="C61" s="223"/>
      <c r="D61" s="223"/>
      <c r="E61" s="223"/>
      <c r="F61" s="224"/>
      <c r="G61" s="155"/>
      <c r="H61" s="225"/>
      <c r="I61" s="225"/>
      <c r="J61" s="226"/>
      <c r="K61" s="217"/>
      <c r="L61" s="226"/>
      <c r="M61" s="226"/>
    </row>
    <row r="62" spans="1:13" x14ac:dyDescent="0.2">
      <c r="B62" s="227" t="s">
        <v>180</v>
      </c>
    </row>
    <row r="63" spans="1:13" x14ac:dyDescent="0.2">
      <c r="B63" s="227"/>
    </row>
    <row r="64" spans="1:13" x14ac:dyDescent="0.2">
      <c r="B64" s="227" t="s">
        <v>181</v>
      </c>
    </row>
    <row r="65" spans="2:9" x14ac:dyDescent="0.2">
      <c r="B65" s="227"/>
    </row>
    <row r="66" spans="2:9" x14ac:dyDescent="0.2">
      <c r="B66" s="227" t="s">
        <v>182</v>
      </c>
    </row>
    <row r="67" spans="2:9" x14ac:dyDescent="0.2">
      <c r="B67" s="227"/>
    </row>
    <row r="68" spans="2:9" x14ac:dyDescent="0.2">
      <c r="B68" s="227" t="s">
        <v>183</v>
      </c>
    </row>
    <row r="69" spans="2:9" x14ac:dyDescent="0.2">
      <c r="B69" s="227"/>
    </row>
    <row r="70" spans="2:9" x14ac:dyDescent="0.2">
      <c r="B70" s="227" t="s">
        <v>184</v>
      </c>
    </row>
    <row r="71" spans="2:9" x14ac:dyDescent="0.2">
      <c r="B71" s="228"/>
    </row>
    <row r="72" spans="2:9" x14ac:dyDescent="0.2">
      <c r="B72" s="227" t="s">
        <v>185</v>
      </c>
    </row>
    <row r="73" spans="2:9" x14ac:dyDescent="0.2">
      <c r="B73" s="229" t="s">
        <v>186</v>
      </c>
    </row>
    <row r="74" spans="2:9" ht="31.45" x14ac:dyDescent="0.2">
      <c r="B74" s="230" t="s">
        <v>187</v>
      </c>
      <c r="C74" s="231">
        <v>1.6</v>
      </c>
      <c r="D74" s="232"/>
      <c r="H74" s="233" t="s">
        <v>188</v>
      </c>
    </row>
    <row r="75" spans="2:9" ht="20.95" x14ac:dyDescent="0.2">
      <c r="B75" s="230" t="s">
        <v>189</v>
      </c>
      <c r="C75" s="234">
        <v>1.25</v>
      </c>
      <c r="D75" s="232"/>
      <c r="H75" s="235" t="s">
        <v>190</v>
      </c>
      <c r="I75" s="157"/>
    </row>
    <row r="76" spans="2:9" x14ac:dyDescent="0.2">
      <c r="B76" s="236"/>
      <c r="C76" s="163"/>
      <c r="D76" s="232"/>
      <c r="H76" s="235"/>
      <c r="I76" s="237"/>
    </row>
    <row r="77" spans="2:9" x14ac:dyDescent="0.2">
      <c r="B77" s="236" t="s">
        <v>191</v>
      </c>
      <c r="C77" s="163"/>
      <c r="D77" s="232"/>
      <c r="H77" s="227" t="s">
        <v>192</v>
      </c>
    </row>
    <row r="78" spans="2:9" x14ac:dyDescent="0.2">
      <c r="B78" s="238" t="s">
        <v>193</v>
      </c>
      <c r="C78" s="239" t="s">
        <v>194</v>
      </c>
      <c r="D78" s="232"/>
      <c r="E78" s="152"/>
      <c r="H78" s="156" t="s">
        <v>195</v>
      </c>
    </row>
    <row r="79" spans="2:9" x14ac:dyDescent="0.2">
      <c r="B79" s="238" t="s">
        <v>196</v>
      </c>
      <c r="C79" s="239">
        <v>1.68</v>
      </c>
      <c r="D79" s="227" t="s">
        <v>197</v>
      </c>
      <c r="E79" s="152"/>
    </row>
    <row r="80" spans="2:9" x14ac:dyDescent="0.2">
      <c r="B80" s="238" t="s">
        <v>198</v>
      </c>
      <c r="C80" s="239">
        <v>1</v>
      </c>
      <c r="D80" s="232"/>
      <c r="H80" s="240"/>
    </row>
    <row r="81" spans="2:8" x14ac:dyDescent="0.2">
      <c r="B81" s="236"/>
      <c r="C81" s="163"/>
      <c r="D81" s="232"/>
      <c r="H81" s="240"/>
    </row>
    <row r="82" spans="2:8" x14ac:dyDescent="0.2">
      <c r="B82" s="228"/>
      <c r="H82" s="241"/>
    </row>
    <row r="83" spans="2:8" x14ac:dyDescent="0.2">
      <c r="B83" s="228" t="s">
        <v>199</v>
      </c>
      <c r="H83" s="241"/>
    </row>
    <row r="84" spans="2:8" x14ac:dyDescent="0.2">
      <c r="B84" s="228" t="s">
        <v>200</v>
      </c>
      <c r="H84" s="241"/>
    </row>
    <row r="85" spans="2:8" x14ac:dyDescent="0.2">
      <c r="B85" s="228"/>
      <c r="H85" s="241"/>
    </row>
    <row r="86" spans="2:8" x14ac:dyDescent="0.2">
      <c r="B86" s="228" t="s">
        <v>201</v>
      </c>
      <c r="H86" s="241"/>
    </row>
    <row r="87" spans="2:8" x14ac:dyDescent="0.2">
      <c r="B87" s="228"/>
      <c r="H87" s="241"/>
    </row>
    <row r="88" spans="2:8" x14ac:dyDescent="0.2">
      <c r="B88" s="228" t="s">
        <v>202</v>
      </c>
      <c r="H88" s="241"/>
    </row>
    <row r="89" spans="2:8" x14ac:dyDescent="0.2">
      <c r="H89" s="241"/>
    </row>
    <row r="90" spans="2:8" x14ac:dyDescent="0.2">
      <c r="B90" s="107" t="s">
        <v>109</v>
      </c>
    </row>
  </sheetData>
  <mergeCells count="3">
    <mergeCell ref="H9:H27"/>
    <mergeCell ref="I9:I27"/>
    <mergeCell ref="B54:I54"/>
  </mergeCells>
  <hyperlinks>
    <hyperlink ref="I9" r:id="rId1"/>
    <hyperlink ref="H7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AM169"/>
  <sheetViews>
    <sheetView zoomScale="91" zoomScaleNormal="91" workbookViewId="0"/>
  </sheetViews>
  <sheetFormatPr defaultRowHeight="14.4" x14ac:dyDescent="0.25"/>
  <cols>
    <col min="1" max="1" width="2.6640625" customWidth="1"/>
    <col min="2" max="2" width="46.44140625" customWidth="1"/>
    <col min="3" max="3" width="14.6640625" customWidth="1"/>
    <col min="4" max="4" width="16.33203125" bestFit="1" customWidth="1"/>
    <col min="5" max="5" width="15.44140625" customWidth="1"/>
    <col min="6" max="6" width="16.88671875" customWidth="1"/>
    <col min="7" max="7" width="16.33203125" bestFit="1" customWidth="1"/>
    <col min="8" max="8" width="16.6640625" customWidth="1"/>
    <col min="9" max="9" width="13.88671875" bestFit="1" customWidth="1"/>
    <col min="10" max="11" width="16.33203125" bestFit="1" customWidth="1"/>
    <col min="12" max="26" width="11.33203125" customWidth="1"/>
    <col min="27" max="36" width="13.109375" customWidth="1"/>
    <col min="37" max="38" width="10.44140625" customWidth="1"/>
  </cols>
  <sheetData>
    <row r="1" spans="2:12" ht="8.1999999999999993" customHeight="1" x14ac:dyDescent="0.25"/>
    <row r="2" spans="2:12" ht="17.7" x14ac:dyDescent="0.3">
      <c r="B2" s="641" t="s">
        <v>563</v>
      </c>
    </row>
    <row r="4" spans="2:12" x14ac:dyDescent="0.25">
      <c r="B4" s="640" t="s">
        <v>1072</v>
      </c>
      <c r="F4" s="640"/>
      <c r="J4" s="640"/>
    </row>
    <row r="5" spans="2:12" x14ac:dyDescent="0.25">
      <c r="B5" s="1160" t="s">
        <v>564</v>
      </c>
      <c r="C5" s="1162" t="s">
        <v>902</v>
      </c>
      <c r="D5" s="1163"/>
      <c r="E5" s="1164"/>
      <c r="F5" s="1162" t="s">
        <v>1140</v>
      </c>
      <c r="G5" s="1163"/>
      <c r="H5" s="1164"/>
      <c r="I5" s="1165" t="s">
        <v>1023</v>
      </c>
      <c r="J5" s="1166"/>
      <c r="K5" s="1167"/>
    </row>
    <row r="6" spans="2:12" x14ac:dyDescent="0.25">
      <c r="B6" s="1161"/>
      <c r="C6" s="665" t="s">
        <v>565</v>
      </c>
      <c r="D6" s="665" t="s">
        <v>566</v>
      </c>
      <c r="E6" s="1087" t="s">
        <v>1073</v>
      </c>
      <c r="F6" s="665" t="s">
        <v>565</v>
      </c>
      <c r="G6" s="665" t="s">
        <v>566</v>
      </c>
      <c r="H6" s="1087" t="s">
        <v>1073</v>
      </c>
      <c r="I6" s="665" t="s">
        <v>565</v>
      </c>
      <c r="J6" s="665" t="s">
        <v>566</v>
      </c>
      <c r="K6" s="666" t="s">
        <v>1073</v>
      </c>
    </row>
    <row r="7" spans="2:12" x14ac:dyDescent="0.25">
      <c r="B7" s="1073" t="s">
        <v>994</v>
      </c>
      <c r="C7" s="1125">
        <f>C31</f>
        <v>139692356.4198226</v>
      </c>
      <c r="D7" s="1125">
        <f>C50</f>
        <v>38502324.367128596</v>
      </c>
      <c r="E7" s="1126">
        <f>C69</f>
        <v>76435285.314698696</v>
      </c>
      <c r="F7" s="1125">
        <v>0</v>
      </c>
      <c r="G7" s="1125">
        <v>0</v>
      </c>
      <c r="H7" s="1125">
        <v>0</v>
      </c>
      <c r="I7" s="1125">
        <f>C128</f>
        <v>139692356.4198226</v>
      </c>
      <c r="J7" s="1125">
        <f>C141</f>
        <v>38502324.367128596</v>
      </c>
      <c r="K7" s="1127">
        <f>C154</f>
        <v>76435285.314698696</v>
      </c>
      <c r="L7" s="940"/>
    </row>
    <row r="8" spans="2:12" x14ac:dyDescent="0.25">
      <c r="B8" s="1073" t="s">
        <v>1017</v>
      </c>
      <c r="C8" s="1125">
        <f t="shared" ref="C8:C10" si="0">C32</f>
        <v>917152.03688382381</v>
      </c>
      <c r="D8" s="1125">
        <f t="shared" ref="D8:D9" si="1">C51</f>
        <v>252787.52626913812</v>
      </c>
      <c r="E8" s="1126">
        <f t="shared" ref="E8:E10" si="2">C70</f>
        <v>501836.88938204857</v>
      </c>
      <c r="F8" s="1125">
        <v>0</v>
      </c>
      <c r="G8" s="1125">
        <v>0</v>
      </c>
      <c r="H8" s="1125">
        <v>0</v>
      </c>
      <c r="I8" s="1125">
        <f t="shared" ref="I8:I10" si="3">C129</f>
        <v>917152.03688382381</v>
      </c>
      <c r="J8" s="1125">
        <f t="shared" ref="J8:J10" si="4">C142</f>
        <v>252787.52626913812</v>
      </c>
      <c r="K8" s="1127">
        <f t="shared" ref="K8:K10" si="5">C155</f>
        <v>501836.88938204857</v>
      </c>
      <c r="L8" s="940"/>
    </row>
    <row r="9" spans="2:12" x14ac:dyDescent="0.25">
      <c r="B9" s="1073" t="s">
        <v>996</v>
      </c>
      <c r="C9" s="1125">
        <f t="shared" si="0"/>
        <v>353899.65200185246</v>
      </c>
      <c r="D9" s="1125">
        <f t="shared" si="1"/>
        <v>97542.625409214656</v>
      </c>
      <c r="E9" s="1126">
        <f t="shared" si="2"/>
        <v>193642.81315606527</v>
      </c>
      <c r="F9" s="1125">
        <v>0</v>
      </c>
      <c r="G9" s="1125">
        <v>0</v>
      </c>
      <c r="H9" s="1125">
        <v>0</v>
      </c>
      <c r="I9" s="1125">
        <f t="shared" si="3"/>
        <v>353899.65200185246</v>
      </c>
      <c r="J9" s="1125">
        <f t="shared" si="4"/>
        <v>97542.625409214656</v>
      </c>
      <c r="K9" s="1127">
        <f t="shared" si="5"/>
        <v>193642.81315606527</v>
      </c>
      <c r="L9" s="940"/>
    </row>
    <row r="10" spans="2:12" x14ac:dyDescent="0.25">
      <c r="B10" s="1073" t="s">
        <v>1018</v>
      </c>
      <c r="C10" s="1125">
        <f t="shared" si="0"/>
        <v>5207460.9680454545</v>
      </c>
      <c r="D10" s="1125">
        <f>C53</f>
        <v>1435292.2125408174</v>
      </c>
      <c r="E10" s="1126">
        <f t="shared" si="2"/>
        <v>2849359.657599919</v>
      </c>
      <c r="F10" s="1125">
        <v>0</v>
      </c>
      <c r="G10" s="1125">
        <v>0</v>
      </c>
      <c r="H10" s="1125">
        <v>0</v>
      </c>
      <c r="I10" s="1125">
        <f t="shared" si="3"/>
        <v>5207460.9680454545</v>
      </c>
      <c r="J10" s="1125">
        <f t="shared" si="4"/>
        <v>1435292.2125408174</v>
      </c>
      <c r="K10" s="1127">
        <f t="shared" si="5"/>
        <v>2849359.657599919</v>
      </c>
      <c r="L10" s="940"/>
    </row>
    <row r="11" spans="2:12" x14ac:dyDescent="0.25">
      <c r="B11" s="1073" t="s">
        <v>1011</v>
      </c>
      <c r="C11" s="1125">
        <f>C36</f>
        <v>73945.352000250001</v>
      </c>
      <c r="D11" s="1125">
        <f>C55</f>
        <v>20380.985768460585</v>
      </c>
      <c r="E11" s="1126">
        <f>C74</f>
        <v>40460.582258693343</v>
      </c>
      <c r="F11" s="1125">
        <f>C88</f>
        <v>73945.352000250001</v>
      </c>
      <c r="G11" s="1125">
        <f>C101</f>
        <v>20380.985768460585</v>
      </c>
      <c r="H11" s="1126">
        <f>C114</f>
        <v>40460.582258693343</v>
      </c>
      <c r="I11" s="1125">
        <v>0</v>
      </c>
      <c r="J11" s="1125">
        <v>0</v>
      </c>
      <c r="K11" s="1127"/>
      <c r="L11" s="940"/>
    </row>
    <row r="12" spans="2:12" x14ac:dyDescent="0.25">
      <c r="B12" s="1073" t="s">
        <v>849</v>
      </c>
      <c r="C12" s="1125">
        <f t="shared" ref="C12:C15" si="6">C37</f>
        <v>32385.818890482955</v>
      </c>
      <c r="D12" s="1125">
        <f t="shared" ref="D12:D15" si="7">C56</f>
        <v>8926.2529158647303</v>
      </c>
      <c r="E12" s="1126">
        <f t="shared" ref="E12:E15" si="8">C75</f>
        <v>17720.506479286218</v>
      </c>
      <c r="F12" s="1125">
        <f t="shared" ref="F12:F15" si="9">C89</f>
        <v>32385.818890482955</v>
      </c>
      <c r="G12" s="1125">
        <f t="shared" ref="G12:G15" si="10">C102</f>
        <v>8926.2529158647303</v>
      </c>
      <c r="H12" s="1126">
        <f t="shared" ref="H12:H15" si="11">C115</f>
        <v>17720.506479286218</v>
      </c>
      <c r="I12" s="1125">
        <v>0</v>
      </c>
      <c r="J12" s="1125">
        <v>0</v>
      </c>
      <c r="K12" s="1127">
        <v>0</v>
      </c>
      <c r="L12" s="940"/>
    </row>
    <row r="13" spans="2:12" x14ac:dyDescent="0.25">
      <c r="B13" s="1073" t="s">
        <v>814</v>
      </c>
      <c r="C13" s="1125">
        <f t="shared" si="6"/>
        <v>141.10498591357992</v>
      </c>
      <c r="D13" s="1125">
        <f t="shared" si="7"/>
        <v>38.891676514756234</v>
      </c>
      <c r="E13" s="1126">
        <f t="shared" si="8"/>
        <v>77.208231960933347</v>
      </c>
      <c r="F13" s="1125">
        <f t="shared" si="9"/>
        <v>141.10498591357992</v>
      </c>
      <c r="G13" s="1125">
        <f t="shared" si="10"/>
        <v>38.891676514756234</v>
      </c>
      <c r="H13" s="1126">
        <f t="shared" si="11"/>
        <v>77.208231960933347</v>
      </c>
      <c r="I13" s="1125">
        <v>0</v>
      </c>
      <c r="J13" s="1125">
        <v>0</v>
      </c>
      <c r="K13" s="1127">
        <v>0</v>
      </c>
      <c r="L13" s="940"/>
    </row>
    <row r="14" spans="2:12" x14ac:dyDescent="0.25">
      <c r="B14" s="1073" t="s">
        <v>850</v>
      </c>
      <c r="C14" s="1125">
        <f t="shared" si="6"/>
        <v>106344.00000000013</v>
      </c>
      <c r="D14" s="1125">
        <f t="shared" si="7"/>
        <v>29310.774672542615</v>
      </c>
      <c r="E14" s="1126">
        <f t="shared" si="8"/>
        <v>58188.10842504265</v>
      </c>
      <c r="F14" s="1125">
        <f t="shared" si="9"/>
        <v>106344.00000000013</v>
      </c>
      <c r="G14" s="1125">
        <f t="shared" si="10"/>
        <v>29310.774672542615</v>
      </c>
      <c r="H14" s="1126">
        <f t="shared" si="11"/>
        <v>58188.10842504265</v>
      </c>
      <c r="I14" s="1125">
        <v>0</v>
      </c>
      <c r="J14" s="1125">
        <v>0</v>
      </c>
      <c r="K14" s="1127">
        <v>0</v>
      </c>
      <c r="L14" s="940"/>
    </row>
    <row r="15" spans="2:12" x14ac:dyDescent="0.25">
      <c r="B15" s="667" t="s">
        <v>575</v>
      </c>
      <c r="C15" s="1125">
        <f t="shared" si="6"/>
        <v>29383651.255333483</v>
      </c>
      <c r="D15" s="1125">
        <f t="shared" si="7"/>
        <v>2572111.3404104668</v>
      </c>
      <c r="E15" s="1126">
        <f t="shared" si="8"/>
        <v>10138312.449647669</v>
      </c>
      <c r="F15" s="1125">
        <f t="shared" si="9"/>
        <v>9998819.0253761541</v>
      </c>
      <c r="G15" s="1125">
        <f t="shared" si="10"/>
        <v>875251.19265815546</v>
      </c>
      <c r="H15" s="1126">
        <f t="shared" si="11"/>
        <v>3449916.7760284715</v>
      </c>
      <c r="I15" s="1125">
        <f>C132</f>
        <v>19384832.229957331</v>
      </c>
      <c r="J15" s="1125">
        <f>C145</f>
        <v>1696860.1477523115</v>
      </c>
      <c r="K15" s="1127">
        <f>C158</f>
        <v>6688395.6736191986</v>
      </c>
      <c r="L15" s="940"/>
    </row>
    <row r="16" spans="2:12" x14ac:dyDescent="0.25">
      <c r="B16" s="668" t="s">
        <v>568</v>
      </c>
      <c r="C16" s="1128">
        <f>SUM(C7:C15)</f>
        <v>175767336.60796386</v>
      </c>
      <c r="D16" s="1128">
        <f t="shared" ref="D16:K16" si="12">SUM(D7:D15)</f>
        <v>42918714.97679162</v>
      </c>
      <c r="E16" s="1128">
        <f t="shared" si="12"/>
        <v>90234883.529879376</v>
      </c>
      <c r="F16" s="1128">
        <f t="shared" si="12"/>
        <v>10211635.301252801</v>
      </c>
      <c r="G16" s="1128">
        <f t="shared" si="12"/>
        <v>933908.09769153816</v>
      </c>
      <c r="H16" s="1128">
        <f t="shared" si="12"/>
        <v>3566363.1814234545</v>
      </c>
      <c r="I16" s="1128">
        <f t="shared" si="12"/>
        <v>165555701.30671108</v>
      </c>
      <c r="J16" s="1128">
        <f t="shared" si="12"/>
        <v>41984806.879100084</v>
      </c>
      <c r="K16" s="1129">
        <f t="shared" si="12"/>
        <v>86668520.348455936</v>
      </c>
    </row>
    <row r="17" spans="2:39" x14ac:dyDescent="0.25">
      <c r="B17" s="667" t="s">
        <v>569</v>
      </c>
      <c r="C17" s="1125">
        <f>C42</f>
        <v>73459128.138333708</v>
      </c>
      <c r="D17" s="1127">
        <f>C61</f>
        <v>56127817.205489762</v>
      </c>
      <c r="E17" s="1126">
        <f>C80</f>
        <v>65265499.00086347</v>
      </c>
      <c r="F17" s="1125">
        <f>C94</f>
        <v>24997047.563440382</v>
      </c>
      <c r="G17" s="1125">
        <f>C107</f>
        <v>19706489.8070632</v>
      </c>
      <c r="H17" s="1126">
        <f>C120</f>
        <v>22508695.596423686</v>
      </c>
      <c r="I17" s="1125">
        <f>C134</f>
        <v>48462080.57489334</v>
      </c>
      <c r="J17" s="1125">
        <f>C147</f>
        <v>36421327.398426563</v>
      </c>
      <c r="K17" s="1127">
        <f>C160</f>
        <v>42756803.404439777</v>
      </c>
    </row>
    <row r="18" spans="2:39" x14ac:dyDescent="0.25">
      <c r="B18" s="667" t="s">
        <v>583</v>
      </c>
      <c r="C18" s="1125">
        <f>C43</f>
        <v>0</v>
      </c>
      <c r="D18" s="1127">
        <f>C62</f>
        <v>0</v>
      </c>
      <c r="E18" s="1126">
        <f>C81</f>
        <v>0</v>
      </c>
      <c r="F18" s="1125">
        <f>C95</f>
        <v>0</v>
      </c>
      <c r="G18" s="1125">
        <f>C108</f>
        <v>0</v>
      </c>
      <c r="H18" s="1126">
        <f>C121</f>
        <v>0</v>
      </c>
      <c r="I18" s="1125">
        <f>C135</f>
        <v>0</v>
      </c>
      <c r="J18" s="1125">
        <f>C148</f>
        <v>0</v>
      </c>
      <c r="K18" s="1127">
        <f>C161</f>
        <v>0</v>
      </c>
    </row>
    <row r="19" spans="2:39" x14ac:dyDescent="0.25">
      <c r="B19" s="668" t="s">
        <v>570</v>
      </c>
      <c r="C19" s="1128">
        <f>SUM(C17:C18)</f>
        <v>73459128.138333708</v>
      </c>
      <c r="D19" s="1128">
        <f t="shared" ref="D19:E19" si="13">SUM(D17:D18)</f>
        <v>56127817.205489762</v>
      </c>
      <c r="E19" s="1128">
        <f t="shared" si="13"/>
        <v>65265499.00086347</v>
      </c>
      <c r="F19" s="1128">
        <f t="shared" ref="F19:J19" si="14">SUM(F17:F18)</f>
        <v>24997047.563440382</v>
      </c>
      <c r="G19" s="1128">
        <f t="shared" si="14"/>
        <v>19706489.8070632</v>
      </c>
      <c r="H19" s="1128">
        <f t="shared" ref="H19" si="15">SUM(H17:H18)</f>
        <v>22508695.596423686</v>
      </c>
      <c r="I19" s="1128">
        <f t="shared" si="14"/>
        <v>48462080.57489334</v>
      </c>
      <c r="J19" s="1128">
        <f t="shared" si="14"/>
        <v>36421327.398426563</v>
      </c>
      <c r="K19" s="1129">
        <f t="shared" ref="K19" si="16">SUM(K17:K18)</f>
        <v>42756803.404439777</v>
      </c>
    </row>
    <row r="20" spans="2:39" x14ac:dyDescent="0.25">
      <c r="B20" s="668" t="s">
        <v>571</v>
      </c>
      <c r="C20" s="1128">
        <f>C16-C19</f>
        <v>102308208.46963015</v>
      </c>
      <c r="D20" s="1128">
        <f t="shared" ref="D20:E20" si="17">D16-D19</f>
        <v>-13209102.228698142</v>
      </c>
      <c r="E20" s="1128">
        <f t="shared" si="17"/>
        <v>24969384.529015906</v>
      </c>
      <c r="F20" s="1128">
        <f t="shared" ref="F20:J20" si="18">F16-F19</f>
        <v>-14785412.262187582</v>
      </c>
      <c r="G20" s="1128">
        <f t="shared" si="18"/>
        <v>-18772581.70937166</v>
      </c>
      <c r="H20" s="1128">
        <f t="shared" ref="H20" si="19">H16-H19</f>
        <v>-18942332.41500023</v>
      </c>
      <c r="I20" s="1128">
        <f t="shared" si="18"/>
        <v>117093620.73181774</v>
      </c>
      <c r="J20" s="1128">
        <f t="shared" si="18"/>
        <v>5563479.4806735218</v>
      </c>
      <c r="K20" s="1129">
        <f t="shared" ref="K20" si="20">K16-K19</f>
        <v>43911716.944016159</v>
      </c>
    </row>
    <row r="21" spans="2:39" x14ac:dyDescent="0.25">
      <c r="B21" s="668" t="s">
        <v>572</v>
      </c>
      <c r="C21" s="680">
        <f>IFERROR((C16-C18)/C17,"-")</f>
        <v>2.3927228795442499</v>
      </c>
      <c r="D21" s="680">
        <f t="shared" ref="D21:E21" si="21">IFERROR((D16-D18)/D17,"-")</f>
        <v>0.76466032555055097</v>
      </c>
      <c r="E21" s="680">
        <f t="shared" si="21"/>
        <v>1.3825816842170402</v>
      </c>
      <c r="F21" s="680">
        <f t="shared" ref="F21:J21" si="22">IFERROR((F16-F18)/F17,"-")</f>
        <v>0.4085136564762914</v>
      </c>
      <c r="G21" s="680">
        <f t="shared" si="22"/>
        <v>4.7390890353126554E-2</v>
      </c>
      <c r="H21" s="680">
        <f t="shared" ref="H21" si="23">IFERROR((H16-H18)/H17,"-")</f>
        <v>0.15844379636064293</v>
      </c>
      <c r="I21" s="680">
        <f t="shared" si="22"/>
        <v>3.4161905420230805</v>
      </c>
      <c r="J21" s="680">
        <f t="shared" si="22"/>
        <v>1.1527533420133904</v>
      </c>
      <c r="K21" s="1088">
        <f t="shared" ref="K21" si="24">IFERROR((K16-K18)/K17,"-")</f>
        <v>2.0270112227205566</v>
      </c>
    </row>
    <row r="22" spans="2:39" x14ac:dyDescent="0.25">
      <c r="B22" s="668" t="s">
        <v>573</v>
      </c>
      <c r="C22" s="1130">
        <f>IFERROR(IRR(D45:AM45),"-")</f>
        <v>5.0646521158638436E-2</v>
      </c>
      <c r="D22" s="1131">
        <f>IFERROR(IRR(D45:AM45),"-")</f>
        <v>5.0646521158638436E-2</v>
      </c>
      <c r="E22" s="1132">
        <f>IFERROR(IRR(D45:AM45),"-")</f>
        <v>5.0646521158638436E-2</v>
      </c>
      <c r="F22" s="1130">
        <f>IFERROR(IRR(D97:AM97),"-")</f>
        <v>-2.7447500780132916E-2</v>
      </c>
      <c r="G22" s="1130">
        <f>IFERROR(IRR(D97:AM97),"-")</f>
        <v>-2.7447500780132916E-2</v>
      </c>
      <c r="H22" s="1132">
        <f>IFERROR(IRR(D97:AM97),"-")</f>
        <v>-2.7447500780132916E-2</v>
      </c>
      <c r="I22" s="1133">
        <f>IFERROR(IRR(D137:AM137),"-")</f>
        <v>8.1816127842948339E-2</v>
      </c>
      <c r="J22" s="1130">
        <f>IFERROR(IRR(D137:AM137),"-")</f>
        <v>8.1816127842948339E-2</v>
      </c>
      <c r="K22" s="1131">
        <f>IFERROR(IRR(D137:AM137),"-")</f>
        <v>8.1816127842948339E-2</v>
      </c>
    </row>
    <row r="23" spans="2:39" x14ac:dyDescent="0.25">
      <c r="B23" s="668" t="s">
        <v>574</v>
      </c>
      <c r="C23" s="1133">
        <f>IFERROR((C16-C18)/C17-1,"-")</f>
        <v>1.3927228795442499</v>
      </c>
      <c r="D23" s="1134">
        <f>IFERROR((D16-D18)/D17-1,"-")</f>
        <v>-0.23533967444944903</v>
      </c>
      <c r="E23" s="1134">
        <f>IFERROR((E16-E18)/E17-1,"-")</f>
        <v>0.3825816842170402</v>
      </c>
      <c r="F23" s="1130">
        <f t="shared" ref="F23:I23" si="25">IFERROR((F16-F18)/F17-1,"-")</f>
        <v>-0.59148634352370855</v>
      </c>
      <c r="G23" s="1130">
        <f>IFERROR((G16-G18)/G17-1,"-")</f>
        <v>-0.9526091096468734</v>
      </c>
      <c r="H23" s="1130">
        <f>IFERROR((H16-H18)/H17-1,"-")</f>
        <v>-0.84155620363935713</v>
      </c>
      <c r="I23" s="1130">
        <f t="shared" si="25"/>
        <v>2.4161905420230805</v>
      </c>
      <c r="J23" s="1130">
        <f>IFERROR((J16-J18)/J17-1,"-")</f>
        <v>0.15275334201339041</v>
      </c>
      <c r="K23" s="1131">
        <f>IFERROR((K16-K18)/K17-1,"-")</f>
        <v>1.0270112227205566</v>
      </c>
    </row>
    <row r="24" spans="2:39" x14ac:dyDescent="0.25">
      <c r="B24" s="669" t="s">
        <v>610</v>
      </c>
      <c r="C24" s="1135">
        <f>IF(C20&gt;0,COUNT(J29:W29)+(-X46/Y45),"&gt;"&amp;Assumptions!$D$13&amp;" yrs")</f>
        <v>14.054777715434886</v>
      </c>
      <c r="D24" s="1136" t="str">
        <f>IF(D20&gt;0,COUNT(I48:O48)+(-P65/Q64),"&gt;"&amp;Assumptions!$D$13&amp;" yrs")</f>
        <v>&gt;30 yrs</v>
      </c>
      <c r="E24" s="1136">
        <f>IF(E20&gt;0,COUNT(J67:AD67)+(-AE84/AF83),"&gt;"&amp;Assumptions!$D$13&amp;" yrs")</f>
        <v>21.067518991084874</v>
      </c>
      <c r="F24" s="1135" t="str">
        <f>IF(F20&gt;0,COUNT(J87:X87)+(-X98/Y97),"&gt;"&amp;Assumptions!$D$13&amp;" yrs")</f>
        <v>&gt;30 yrs</v>
      </c>
      <c r="G24" s="1135" t="str">
        <f>IF(G20&gt;0,COUNT(J113:R113)+(-R124/S123),"&gt;"&amp;Assumptions!$D$13&amp;" yrs")</f>
        <v>&gt;30 yrs</v>
      </c>
      <c r="H24" s="1135" t="str">
        <f>IF(H20&gt;0,COUNT(K100:S100)+(-S111/T110),"&gt;"&amp;Assumptions!$D$13&amp;" yrs")</f>
        <v>&gt;30 yrs</v>
      </c>
      <c r="I24" s="1135">
        <f>IF(I20&gt;0,COUNT(J127:Q127)+(-R138/S137),"&gt;"&amp;Assumptions!$D$13&amp;" yrs")</f>
        <v>8.9463212227559783</v>
      </c>
      <c r="J24" s="1135">
        <f>IF(J20&gt;0,COUNT(J140:Q140)+(-R151/S150),"&gt;"&amp;Assumptions!$D$13&amp;" yrs")</f>
        <v>17.251230044481218</v>
      </c>
      <c r="K24" s="1136">
        <f>IF(K20&gt;0,COUNT(J153:T153)+(-U164/V163),"&gt;"&amp;Assumptions!$D$13&amp;" yrs")</f>
        <v>11.769881675369367</v>
      </c>
      <c r="L24" s="650"/>
    </row>
    <row r="25" spans="2:39" x14ac:dyDescent="0.25">
      <c r="B25" s="937" t="s">
        <v>615</v>
      </c>
      <c r="C25" s="937"/>
      <c r="D25" s="937"/>
      <c r="F25" s="937"/>
      <c r="G25" s="938"/>
      <c r="H25" s="937"/>
      <c r="J25" s="938"/>
      <c r="K25" s="938"/>
      <c r="L25" s="938"/>
    </row>
    <row r="26" spans="2:39" x14ac:dyDescent="0.25">
      <c r="B26" s="938"/>
      <c r="C26" s="938"/>
      <c r="D26" s="938"/>
      <c r="F26" s="938"/>
      <c r="G26" s="938"/>
      <c r="H26" s="938"/>
      <c r="J26" s="938"/>
      <c r="K26" s="938"/>
      <c r="L26" s="938"/>
    </row>
    <row r="27" spans="2:39" x14ac:dyDescent="0.25">
      <c r="B27" s="918"/>
      <c r="C27" s="918"/>
      <c r="D27" s="918"/>
      <c r="F27" s="918"/>
      <c r="H27" s="918"/>
      <c r="J27" s="918"/>
      <c r="K27" s="918"/>
      <c r="L27" s="918"/>
    </row>
    <row r="28" spans="2:39" ht="14.25" customHeight="1" x14ac:dyDescent="0.25">
      <c r="B28" s="936" t="s">
        <v>901</v>
      </c>
    </row>
    <row r="29" spans="2:39" ht="15.05" customHeight="1" x14ac:dyDescent="0.25">
      <c r="B29" s="1075" t="s">
        <v>581</v>
      </c>
      <c r="C29" s="1076" t="s">
        <v>393</v>
      </c>
      <c r="D29" s="1076">
        <v>2019</v>
      </c>
      <c r="E29" s="1076">
        <f>D29+1</f>
        <v>2020</v>
      </c>
      <c r="F29" s="1076">
        <f t="shared" ref="F29:AJ29" si="26">E29+1</f>
        <v>2021</v>
      </c>
      <c r="G29" s="1076">
        <f t="shared" si="26"/>
        <v>2022</v>
      </c>
      <c r="H29" s="1076">
        <f t="shared" si="26"/>
        <v>2023</v>
      </c>
      <c r="I29" s="1076">
        <f t="shared" si="26"/>
        <v>2024</v>
      </c>
      <c r="J29" s="1076">
        <f t="shared" si="26"/>
        <v>2025</v>
      </c>
      <c r="K29" s="1076">
        <f t="shared" si="26"/>
        <v>2026</v>
      </c>
      <c r="L29" s="1076">
        <f t="shared" si="26"/>
        <v>2027</v>
      </c>
      <c r="M29" s="1076">
        <f t="shared" si="26"/>
        <v>2028</v>
      </c>
      <c r="N29" s="1076">
        <f t="shared" si="26"/>
        <v>2029</v>
      </c>
      <c r="O29" s="1076">
        <f t="shared" si="26"/>
        <v>2030</v>
      </c>
      <c r="P29" s="1076">
        <f t="shared" si="26"/>
        <v>2031</v>
      </c>
      <c r="Q29" s="1076">
        <f t="shared" si="26"/>
        <v>2032</v>
      </c>
      <c r="R29" s="1076">
        <f t="shared" si="26"/>
        <v>2033</v>
      </c>
      <c r="S29" s="1076">
        <f t="shared" si="26"/>
        <v>2034</v>
      </c>
      <c r="T29" s="1076">
        <f t="shared" si="26"/>
        <v>2035</v>
      </c>
      <c r="U29" s="1076">
        <f t="shared" si="26"/>
        <v>2036</v>
      </c>
      <c r="V29" s="1076">
        <f t="shared" si="26"/>
        <v>2037</v>
      </c>
      <c r="W29" s="1076">
        <f t="shared" si="26"/>
        <v>2038</v>
      </c>
      <c r="X29" s="1076">
        <f t="shared" si="26"/>
        <v>2039</v>
      </c>
      <c r="Y29" s="1076">
        <f t="shared" si="26"/>
        <v>2040</v>
      </c>
      <c r="Z29" s="1076">
        <f t="shared" si="26"/>
        <v>2041</v>
      </c>
      <c r="AA29" s="1076">
        <f t="shared" si="26"/>
        <v>2042</v>
      </c>
      <c r="AB29" s="1076">
        <f t="shared" si="26"/>
        <v>2043</v>
      </c>
      <c r="AC29" s="1076">
        <f t="shared" si="26"/>
        <v>2044</v>
      </c>
      <c r="AD29" s="1076">
        <f t="shared" si="26"/>
        <v>2045</v>
      </c>
      <c r="AE29" s="1076">
        <f t="shared" si="26"/>
        <v>2046</v>
      </c>
      <c r="AF29" s="1076">
        <f t="shared" si="26"/>
        <v>2047</v>
      </c>
      <c r="AG29" s="1076">
        <f t="shared" si="26"/>
        <v>2048</v>
      </c>
      <c r="AH29" s="1076">
        <f t="shared" si="26"/>
        <v>2049</v>
      </c>
      <c r="AI29" s="1076">
        <f t="shared" si="26"/>
        <v>2050</v>
      </c>
      <c r="AJ29" s="1076">
        <f t="shared" si="26"/>
        <v>2051</v>
      </c>
      <c r="AK29" s="1076">
        <f t="shared" ref="AK29" si="27">AJ29+1</f>
        <v>2052</v>
      </c>
      <c r="AL29" s="1076">
        <f t="shared" ref="AL29" si="28">AK29+1</f>
        <v>2053</v>
      </c>
      <c r="AM29" s="1081">
        <f t="shared" ref="AM29" si="29">AL29+1</f>
        <v>2054</v>
      </c>
    </row>
    <row r="30" spans="2:39" ht="15.05" customHeight="1" x14ac:dyDescent="0.25">
      <c r="B30" s="1078" t="s">
        <v>1019</v>
      </c>
      <c r="C30" s="1079"/>
      <c r="D30" s="1079"/>
      <c r="E30" s="1079"/>
      <c r="F30" s="1079"/>
      <c r="G30" s="1079"/>
      <c r="H30" s="1079"/>
      <c r="I30" s="1079"/>
      <c r="J30" s="1079"/>
      <c r="K30" s="1079"/>
      <c r="L30" s="1079"/>
      <c r="M30" s="1079"/>
      <c r="N30" s="1079"/>
      <c r="O30" s="1079"/>
      <c r="P30" s="1079"/>
      <c r="Q30" s="1079"/>
      <c r="R30" s="1079"/>
      <c r="S30" s="1079"/>
      <c r="T30" s="1079"/>
      <c r="U30" s="1079"/>
      <c r="V30" s="1079"/>
      <c r="W30" s="1079"/>
      <c r="X30" s="1079"/>
      <c r="Y30" s="1079"/>
      <c r="Z30" s="1079"/>
      <c r="AA30" s="1079"/>
      <c r="AB30" s="1079"/>
      <c r="AC30" s="1079"/>
      <c r="AD30" s="1079"/>
      <c r="AE30" s="1079"/>
      <c r="AF30" s="1079"/>
      <c r="AG30" s="1079"/>
      <c r="AH30" s="1079"/>
      <c r="AI30" s="1079"/>
      <c r="AJ30" s="1079"/>
      <c r="AK30" s="1079"/>
      <c r="AL30" s="1079"/>
      <c r="AM30" s="1080"/>
    </row>
    <row r="31" spans="2:39" ht="15.05" customHeight="1" x14ac:dyDescent="0.25">
      <c r="B31" s="1077" t="s">
        <v>994</v>
      </c>
      <c r="C31" s="1137">
        <f>SUM(D31:AM31)</f>
        <v>139692356.4198226</v>
      </c>
      <c r="D31" s="1138">
        <f>IF(D29&gt;=Assumptions!$D$16,'Damage Costs - Rail'!$J$58,0)</f>
        <v>0</v>
      </c>
      <c r="E31" s="1138">
        <f>IF(E29&gt;=Assumptions!$D$16,'Damage Costs - Rail'!$J$58,0)</f>
        <v>0</v>
      </c>
      <c r="F31" s="1138">
        <f>IF(F29&gt;=Assumptions!$D$16,'Damage Costs - Rail'!$J$58,0)</f>
        <v>0</v>
      </c>
      <c r="G31" s="1138">
        <f>IF(G29&gt;=Assumptions!$D$16,'Damage Costs - Rail'!$J$58,0)</f>
        <v>0</v>
      </c>
      <c r="H31" s="1138">
        <f>IF(H29&gt;=Assumptions!$D$16,'Damage Costs - Rail'!$J$58,0)</f>
        <v>0</v>
      </c>
      <c r="I31" s="1138">
        <f>IF(I29&gt;=Assumptions!$D$16,'Damage Costs - Rail'!$J$58,0)</f>
        <v>0</v>
      </c>
      <c r="J31" s="1138">
        <f>IF(J29&gt;=Assumptions!$D$16,'Damage Costs - Rail'!$J$58,0)</f>
        <v>4656411.8806607518</v>
      </c>
      <c r="K31" s="1138">
        <f>IF(K29&gt;=Assumptions!$D$16,'Damage Costs - Rail'!$J$58,0)</f>
        <v>4656411.8806607518</v>
      </c>
      <c r="L31" s="1138">
        <f>IF(L29&gt;=Assumptions!$D$16,'Damage Costs - Rail'!$J$58,0)</f>
        <v>4656411.8806607518</v>
      </c>
      <c r="M31" s="1138">
        <f>IF(M29&gt;=Assumptions!$D$16,'Damage Costs - Rail'!$J$58,0)</f>
        <v>4656411.8806607518</v>
      </c>
      <c r="N31" s="1138">
        <f>IF(N29&gt;=Assumptions!$D$16,'Damage Costs - Rail'!$J$58,0)</f>
        <v>4656411.8806607518</v>
      </c>
      <c r="O31" s="1138">
        <f>IF(O29&gt;=Assumptions!$D$16,'Damage Costs - Rail'!$J$58,0)</f>
        <v>4656411.8806607518</v>
      </c>
      <c r="P31" s="1138">
        <f>IF(P29&gt;=Assumptions!$D$16,'Damage Costs - Rail'!$J$58,0)</f>
        <v>4656411.8806607518</v>
      </c>
      <c r="Q31" s="1138">
        <f>IF(Q29&gt;=Assumptions!$D$16,'Damage Costs - Rail'!$J$58,0)</f>
        <v>4656411.8806607518</v>
      </c>
      <c r="R31" s="1138">
        <f>IF(R29&gt;=Assumptions!$D$16,'Damage Costs - Rail'!$J$58,0)</f>
        <v>4656411.8806607518</v>
      </c>
      <c r="S31" s="1138">
        <f>IF(S29&gt;=Assumptions!$D$16,'Damage Costs - Rail'!$J$58,0)</f>
        <v>4656411.8806607518</v>
      </c>
      <c r="T31" s="1138">
        <f>IF(T29&gt;=Assumptions!$D$16,'Damage Costs - Rail'!$J$58,0)</f>
        <v>4656411.8806607518</v>
      </c>
      <c r="U31" s="1138">
        <f>IF(U29&gt;=Assumptions!$D$16,'Damage Costs - Rail'!$J$58,0)</f>
        <v>4656411.8806607518</v>
      </c>
      <c r="V31" s="1138">
        <f>IF(V29&gt;=Assumptions!$D$16,'Damage Costs - Rail'!$J$58,0)</f>
        <v>4656411.8806607518</v>
      </c>
      <c r="W31" s="1138">
        <f>IF(W29&gt;=Assumptions!$D$16,'Damage Costs - Rail'!$J$58,0)</f>
        <v>4656411.8806607518</v>
      </c>
      <c r="X31" s="1138">
        <f>IF(X29&gt;=Assumptions!$D$16,'Damage Costs - Rail'!$J$58,0)</f>
        <v>4656411.8806607518</v>
      </c>
      <c r="Y31" s="1138">
        <f>IF(Y29&gt;=Assumptions!$D$16,'Damage Costs - Rail'!$J$58,0)</f>
        <v>4656411.8806607518</v>
      </c>
      <c r="Z31" s="1138">
        <f>IF(Z29&gt;=Assumptions!$D$16,'Damage Costs - Rail'!$J$58,0)</f>
        <v>4656411.8806607518</v>
      </c>
      <c r="AA31" s="1138">
        <f>IF(AA29&gt;=Assumptions!$D$16,'Damage Costs - Rail'!$J$58,0)</f>
        <v>4656411.8806607518</v>
      </c>
      <c r="AB31" s="1138">
        <f>IF(AB29&gt;=Assumptions!$D$16,'Damage Costs - Rail'!$J$58,0)</f>
        <v>4656411.8806607518</v>
      </c>
      <c r="AC31" s="1138">
        <f>IF(AC29&gt;=Assumptions!$D$16,'Damage Costs - Rail'!$J$58,0)</f>
        <v>4656411.8806607518</v>
      </c>
      <c r="AD31" s="1138">
        <f>IF(AD29&gt;=Assumptions!$D$16,'Damage Costs - Rail'!$J$58,0)</f>
        <v>4656411.8806607518</v>
      </c>
      <c r="AE31" s="1138">
        <f>IF(AE29&gt;=Assumptions!$D$16,'Damage Costs - Rail'!$J$58,0)</f>
        <v>4656411.8806607518</v>
      </c>
      <c r="AF31" s="1138">
        <f>IF(AF29&gt;=Assumptions!$D$16,'Damage Costs - Rail'!$J$58,0)</f>
        <v>4656411.8806607518</v>
      </c>
      <c r="AG31" s="1138">
        <f>IF(AG29&gt;=Assumptions!$D$16,'Damage Costs - Rail'!$J$58,0)</f>
        <v>4656411.8806607518</v>
      </c>
      <c r="AH31" s="1138">
        <f>IF(AH29&gt;=Assumptions!$D$16,'Damage Costs - Rail'!$J$58,0)</f>
        <v>4656411.8806607518</v>
      </c>
      <c r="AI31" s="1138">
        <f>IF(AI29&gt;=Assumptions!$D$16,'Damage Costs - Rail'!$J$58,0)</f>
        <v>4656411.8806607518</v>
      </c>
      <c r="AJ31" s="1138">
        <f>IF(AJ29&gt;=Assumptions!$D$16,'Damage Costs - Rail'!$J$58,0)</f>
        <v>4656411.8806607518</v>
      </c>
      <c r="AK31" s="1138">
        <f>IF(AK29&gt;=Assumptions!$D$16,'Damage Costs - Rail'!$J$58,0)</f>
        <v>4656411.8806607518</v>
      </c>
      <c r="AL31" s="1138">
        <f>IF(AL29&gt;=Assumptions!$D$16,'Damage Costs - Rail'!$J$58,0)</f>
        <v>4656411.8806607518</v>
      </c>
      <c r="AM31" s="1139">
        <f>IF(AM29&gt;=Assumptions!$D$16,'Damage Costs - Rail'!$J$58,0)</f>
        <v>4656411.8806607518</v>
      </c>
    </row>
    <row r="32" spans="2:39" ht="15.05" customHeight="1" x14ac:dyDescent="0.25">
      <c r="B32" s="1072" t="s">
        <v>1017</v>
      </c>
      <c r="C32" s="1137">
        <f t="shared" ref="C32:C34" si="30">SUM(D32:AM32)</f>
        <v>917152.03688382381</v>
      </c>
      <c r="D32" s="1140">
        <f>IF(D29&gt;=Assumptions!$D$16,'Damage Costs - Rail'!$J$72,0)</f>
        <v>0</v>
      </c>
      <c r="E32" s="1140">
        <f>IF(E29&gt;=Assumptions!$D$16,'Damage Costs - Rail'!$J$72,0)</f>
        <v>0</v>
      </c>
      <c r="F32" s="1140">
        <f>IF(F29&gt;=Assumptions!$D$16,'Damage Costs - Rail'!$J$72,0)</f>
        <v>0</v>
      </c>
      <c r="G32" s="1140">
        <f>IF(G29&gt;=Assumptions!$D$16,'Damage Costs - Rail'!$J$72,0)</f>
        <v>0</v>
      </c>
      <c r="H32" s="1140">
        <f>IF(H29&gt;=Assumptions!$D$16,'Damage Costs - Rail'!$J$72,0)</f>
        <v>0</v>
      </c>
      <c r="I32" s="1140">
        <f>IF(I29&gt;=Assumptions!$D$16,'Damage Costs - Rail'!$J$72,0)</f>
        <v>0</v>
      </c>
      <c r="J32" s="1140">
        <f>IF(J29&gt;=Assumptions!$D$16,'Damage Costs - Rail'!$J$72,0)</f>
        <v>30571.734562794139</v>
      </c>
      <c r="K32" s="1140">
        <f>IF(K29&gt;=Assumptions!$D$16,'Damage Costs - Rail'!$J$72,0)</f>
        <v>30571.734562794139</v>
      </c>
      <c r="L32" s="1140">
        <f>IF(L29&gt;=Assumptions!$D$16,'Damage Costs - Rail'!$J$72,0)</f>
        <v>30571.734562794139</v>
      </c>
      <c r="M32" s="1140">
        <f>IF(M29&gt;=Assumptions!$D$16,'Damage Costs - Rail'!$J$72,0)</f>
        <v>30571.734562794139</v>
      </c>
      <c r="N32" s="1140">
        <f>IF(N29&gt;=Assumptions!$D$16,'Damage Costs - Rail'!$J$72,0)</f>
        <v>30571.734562794139</v>
      </c>
      <c r="O32" s="1140">
        <f>IF(O29&gt;=Assumptions!$D$16,'Damage Costs - Rail'!$J$72,0)</f>
        <v>30571.734562794139</v>
      </c>
      <c r="P32" s="1140">
        <f>IF(P29&gt;=Assumptions!$D$16,'Damage Costs - Rail'!$J$72,0)</f>
        <v>30571.734562794139</v>
      </c>
      <c r="Q32" s="1140">
        <f>IF(Q29&gt;=Assumptions!$D$16,'Damage Costs - Rail'!$J$72,0)</f>
        <v>30571.734562794139</v>
      </c>
      <c r="R32" s="1140">
        <f>IF(R29&gt;=Assumptions!$D$16,'Damage Costs - Rail'!$J$72,0)</f>
        <v>30571.734562794139</v>
      </c>
      <c r="S32" s="1140">
        <f>IF(S29&gt;=Assumptions!$D$16,'Damage Costs - Rail'!$J$72,0)</f>
        <v>30571.734562794139</v>
      </c>
      <c r="T32" s="1140">
        <f>IF(T29&gt;=Assumptions!$D$16,'Damage Costs - Rail'!$J$72,0)</f>
        <v>30571.734562794139</v>
      </c>
      <c r="U32" s="1140">
        <f>IF(U29&gt;=Assumptions!$D$16,'Damage Costs - Rail'!$J$72,0)</f>
        <v>30571.734562794139</v>
      </c>
      <c r="V32" s="1140">
        <f>IF(V29&gt;=Assumptions!$D$16,'Damage Costs - Rail'!$J$72,0)</f>
        <v>30571.734562794139</v>
      </c>
      <c r="W32" s="1140">
        <f>IF(W29&gt;=Assumptions!$D$16,'Damage Costs - Rail'!$J$72,0)</f>
        <v>30571.734562794139</v>
      </c>
      <c r="X32" s="1140">
        <f>IF(X29&gt;=Assumptions!$D$16,'Damage Costs - Rail'!$J$72,0)</f>
        <v>30571.734562794139</v>
      </c>
      <c r="Y32" s="1140">
        <f>IF(Y29&gt;=Assumptions!$D$16,'Damage Costs - Rail'!$J$72,0)</f>
        <v>30571.734562794139</v>
      </c>
      <c r="Z32" s="1140">
        <f>IF(Z29&gt;=Assumptions!$D$16,'Damage Costs - Rail'!$J$72,0)</f>
        <v>30571.734562794139</v>
      </c>
      <c r="AA32" s="1140">
        <f>IF(AA29&gt;=Assumptions!$D$16,'Damage Costs - Rail'!$J$72,0)</f>
        <v>30571.734562794139</v>
      </c>
      <c r="AB32" s="1140">
        <f>IF(AB29&gt;=Assumptions!$D$16,'Damage Costs - Rail'!$J$72,0)</f>
        <v>30571.734562794139</v>
      </c>
      <c r="AC32" s="1140">
        <f>IF(AC29&gt;=Assumptions!$D$16,'Damage Costs - Rail'!$J$72,0)</f>
        <v>30571.734562794139</v>
      </c>
      <c r="AD32" s="1140">
        <f>IF(AD29&gt;=Assumptions!$D$16,'Damage Costs - Rail'!$J$72,0)</f>
        <v>30571.734562794139</v>
      </c>
      <c r="AE32" s="1140">
        <f>IF(AE29&gt;=Assumptions!$D$16,'Damage Costs - Rail'!$J$72,0)</f>
        <v>30571.734562794139</v>
      </c>
      <c r="AF32" s="1140">
        <f>IF(AF29&gt;=Assumptions!$D$16,'Damage Costs - Rail'!$J$72,0)</f>
        <v>30571.734562794139</v>
      </c>
      <c r="AG32" s="1140">
        <f>IF(AG29&gt;=Assumptions!$D$16,'Damage Costs - Rail'!$J$72,0)</f>
        <v>30571.734562794139</v>
      </c>
      <c r="AH32" s="1140">
        <f>IF(AH29&gt;=Assumptions!$D$16,'Damage Costs - Rail'!$J$72,0)</f>
        <v>30571.734562794139</v>
      </c>
      <c r="AI32" s="1140">
        <f>IF(AI29&gt;=Assumptions!$D$16,'Damage Costs - Rail'!$J$72,0)</f>
        <v>30571.734562794139</v>
      </c>
      <c r="AJ32" s="1140">
        <f>IF(AJ29&gt;=Assumptions!$D$16,'Damage Costs - Rail'!$J$72,0)</f>
        <v>30571.734562794139</v>
      </c>
      <c r="AK32" s="1140">
        <f>IF(AK29&gt;=Assumptions!$D$16,'Damage Costs - Rail'!$J$72,0)</f>
        <v>30571.734562794139</v>
      </c>
      <c r="AL32" s="1140">
        <f>IF(AL29&gt;=Assumptions!$D$16,'Damage Costs - Rail'!$J$72,0)</f>
        <v>30571.734562794139</v>
      </c>
      <c r="AM32" s="1141">
        <f>IF(AM29&gt;=Assumptions!$D$16,'Damage Costs - Rail'!$J$72,0)</f>
        <v>30571.734562794139</v>
      </c>
    </row>
    <row r="33" spans="2:39" ht="15.05" customHeight="1" x14ac:dyDescent="0.25">
      <c r="B33" s="1072" t="s">
        <v>996</v>
      </c>
      <c r="C33" s="1137">
        <f t="shared" si="30"/>
        <v>353899.65200185246</v>
      </c>
      <c r="D33" s="1140">
        <f>IF(D29&gt;=Assumptions!$D$16,'Damage Costs - Rail'!$J$86,0)</f>
        <v>0</v>
      </c>
      <c r="E33" s="1140">
        <f>IF(E29&gt;=Assumptions!$D$16,'Damage Costs - Rail'!$J$86,0)</f>
        <v>0</v>
      </c>
      <c r="F33" s="1140">
        <f>IF(F29&gt;=Assumptions!$D$16,'Damage Costs - Rail'!$J$86,0)</f>
        <v>0</v>
      </c>
      <c r="G33" s="1140">
        <f>IF(G29&gt;=Assumptions!$D$16,'Damage Costs - Rail'!$J$86,0)</f>
        <v>0</v>
      </c>
      <c r="H33" s="1140">
        <f>IF(H29&gt;=Assumptions!$D$16,'Damage Costs - Rail'!$J$86,0)</f>
        <v>0</v>
      </c>
      <c r="I33" s="1140">
        <f>IF(I29&gt;=Assumptions!$D$16,'Damage Costs - Rail'!$J$86,0)</f>
        <v>0</v>
      </c>
      <c r="J33" s="1140">
        <f>IF(J29&gt;=Assumptions!$D$16,'Damage Costs - Rail'!$J$86,0)</f>
        <v>11796.655066728414</v>
      </c>
      <c r="K33" s="1140">
        <f>IF(K29&gt;=Assumptions!$D$16,'Damage Costs - Rail'!$J$86,0)</f>
        <v>11796.655066728414</v>
      </c>
      <c r="L33" s="1140">
        <f>IF(L29&gt;=Assumptions!$D$16,'Damage Costs - Rail'!$J$86,0)</f>
        <v>11796.655066728414</v>
      </c>
      <c r="M33" s="1140">
        <f>IF(M29&gt;=Assumptions!$D$16,'Damage Costs - Rail'!$J$86,0)</f>
        <v>11796.655066728414</v>
      </c>
      <c r="N33" s="1140">
        <f>IF(N29&gt;=Assumptions!$D$16,'Damage Costs - Rail'!$J$86,0)</f>
        <v>11796.655066728414</v>
      </c>
      <c r="O33" s="1140">
        <f>IF(O29&gt;=Assumptions!$D$16,'Damage Costs - Rail'!$J$86,0)</f>
        <v>11796.655066728414</v>
      </c>
      <c r="P33" s="1140">
        <f>IF(P29&gt;=Assumptions!$D$16,'Damage Costs - Rail'!$J$86,0)</f>
        <v>11796.655066728414</v>
      </c>
      <c r="Q33" s="1140">
        <f>IF(Q29&gt;=Assumptions!$D$16,'Damage Costs - Rail'!$J$86,0)</f>
        <v>11796.655066728414</v>
      </c>
      <c r="R33" s="1140">
        <f>IF(R29&gt;=Assumptions!$D$16,'Damage Costs - Rail'!$J$86,0)</f>
        <v>11796.655066728414</v>
      </c>
      <c r="S33" s="1140">
        <f>IF(S29&gt;=Assumptions!$D$16,'Damage Costs - Rail'!$J$86,0)</f>
        <v>11796.655066728414</v>
      </c>
      <c r="T33" s="1140">
        <f>IF(T29&gt;=Assumptions!$D$16,'Damage Costs - Rail'!$J$86,0)</f>
        <v>11796.655066728414</v>
      </c>
      <c r="U33" s="1140">
        <f>IF(U29&gt;=Assumptions!$D$16,'Damage Costs - Rail'!$J$86,0)</f>
        <v>11796.655066728414</v>
      </c>
      <c r="V33" s="1140">
        <f>IF(V29&gt;=Assumptions!$D$16,'Damage Costs - Rail'!$J$86,0)</f>
        <v>11796.655066728414</v>
      </c>
      <c r="W33" s="1140">
        <f>IF(W29&gt;=Assumptions!$D$16,'Damage Costs - Rail'!$J$86,0)</f>
        <v>11796.655066728414</v>
      </c>
      <c r="X33" s="1140">
        <f>IF(X29&gt;=Assumptions!$D$16,'Damage Costs - Rail'!$J$86,0)</f>
        <v>11796.655066728414</v>
      </c>
      <c r="Y33" s="1140">
        <f>IF(Y29&gt;=Assumptions!$D$16,'Damage Costs - Rail'!$J$86,0)</f>
        <v>11796.655066728414</v>
      </c>
      <c r="Z33" s="1140">
        <f>IF(Z29&gt;=Assumptions!$D$16,'Damage Costs - Rail'!$J$86,0)</f>
        <v>11796.655066728414</v>
      </c>
      <c r="AA33" s="1140">
        <f>IF(AA29&gt;=Assumptions!$D$16,'Damage Costs - Rail'!$J$86,0)</f>
        <v>11796.655066728414</v>
      </c>
      <c r="AB33" s="1140">
        <f>IF(AB29&gt;=Assumptions!$D$16,'Damage Costs - Rail'!$J$86,0)</f>
        <v>11796.655066728414</v>
      </c>
      <c r="AC33" s="1140">
        <f>IF(AC29&gt;=Assumptions!$D$16,'Damage Costs - Rail'!$J$86,0)</f>
        <v>11796.655066728414</v>
      </c>
      <c r="AD33" s="1140">
        <f>IF(AD29&gt;=Assumptions!$D$16,'Damage Costs - Rail'!$J$86,0)</f>
        <v>11796.655066728414</v>
      </c>
      <c r="AE33" s="1140">
        <f>IF(AE29&gt;=Assumptions!$D$16,'Damage Costs - Rail'!$J$86,0)</f>
        <v>11796.655066728414</v>
      </c>
      <c r="AF33" s="1140">
        <f>IF(AF29&gt;=Assumptions!$D$16,'Damage Costs - Rail'!$J$86,0)</f>
        <v>11796.655066728414</v>
      </c>
      <c r="AG33" s="1140">
        <f>IF(AG29&gt;=Assumptions!$D$16,'Damage Costs - Rail'!$J$86,0)</f>
        <v>11796.655066728414</v>
      </c>
      <c r="AH33" s="1140">
        <f>IF(AH29&gt;=Assumptions!$D$16,'Damage Costs - Rail'!$J$86,0)</f>
        <v>11796.655066728414</v>
      </c>
      <c r="AI33" s="1140">
        <f>IF(AI29&gt;=Assumptions!$D$16,'Damage Costs - Rail'!$J$86,0)</f>
        <v>11796.655066728414</v>
      </c>
      <c r="AJ33" s="1140">
        <f>IF(AJ29&gt;=Assumptions!$D$16,'Damage Costs - Rail'!$J$86,0)</f>
        <v>11796.655066728414</v>
      </c>
      <c r="AK33" s="1140">
        <f>IF(AK29&gt;=Assumptions!$D$16,'Damage Costs - Rail'!$J$86,0)</f>
        <v>11796.655066728414</v>
      </c>
      <c r="AL33" s="1140">
        <f>IF(AL29&gt;=Assumptions!$D$16,'Damage Costs - Rail'!$J$86,0)</f>
        <v>11796.655066728414</v>
      </c>
      <c r="AM33" s="1141">
        <f>IF(AM29&gt;=Assumptions!$D$16,'Damage Costs - Rail'!$J$86,0)</f>
        <v>11796.655066728414</v>
      </c>
    </row>
    <row r="34" spans="2:39" ht="15.05" customHeight="1" x14ac:dyDescent="0.25">
      <c r="B34" s="1072" t="s">
        <v>1018</v>
      </c>
      <c r="C34" s="1137">
        <f t="shared" si="30"/>
        <v>5207460.9680454545</v>
      </c>
      <c r="D34" s="1140">
        <f>IF(D29&gt;=Assumptions!$D$16,'Damage Costs - Rail'!$J$100,0)</f>
        <v>0</v>
      </c>
      <c r="E34" s="1140">
        <f>IF(E29&gt;=Assumptions!$D$16,'Damage Costs - Rail'!$J$100,0)</f>
        <v>0</v>
      </c>
      <c r="F34" s="1140">
        <f>IF(F29&gt;=Assumptions!$D$16,'Damage Costs - Rail'!$J$100,0)</f>
        <v>0</v>
      </c>
      <c r="G34" s="1140">
        <f>IF(G29&gt;=Assumptions!$D$16,'Damage Costs - Rail'!$J$100,0)</f>
        <v>0</v>
      </c>
      <c r="H34" s="1140">
        <f>IF(H29&gt;=Assumptions!$D$16,'Damage Costs - Rail'!$J$100,0)</f>
        <v>0</v>
      </c>
      <c r="I34" s="1140">
        <f>IF(I29&gt;=Assumptions!$D$16,'Damage Costs - Rail'!$J$100,0)</f>
        <v>0</v>
      </c>
      <c r="J34" s="1140">
        <f>IF(J29&gt;=Assumptions!$D$16,'Damage Costs - Rail'!$J$100,0)</f>
        <v>173582.03226818185</v>
      </c>
      <c r="K34" s="1140">
        <f>IF(K29&gt;=Assumptions!$D$16,'Damage Costs - Rail'!$J$100,0)</f>
        <v>173582.03226818185</v>
      </c>
      <c r="L34" s="1140">
        <f>IF(L29&gt;=Assumptions!$D$16,'Damage Costs - Rail'!$J$100,0)</f>
        <v>173582.03226818185</v>
      </c>
      <c r="M34" s="1140">
        <f>IF(M29&gt;=Assumptions!$D$16,'Damage Costs - Rail'!$J$100,0)</f>
        <v>173582.03226818185</v>
      </c>
      <c r="N34" s="1140">
        <f>IF(N29&gt;=Assumptions!$D$16,'Damage Costs - Rail'!$J$100,0)</f>
        <v>173582.03226818185</v>
      </c>
      <c r="O34" s="1140">
        <f>IF(O29&gt;=Assumptions!$D$16,'Damage Costs - Rail'!$J$100,0)</f>
        <v>173582.03226818185</v>
      </c>
      <c r="P34" s="1140">
        <f>IF(P29&gt;=Assumptions!$D$16,'Damage Costs - Rail'!$J$100,0)</f>
        <v>173582.03226818185</v>
      </c>
      <c r="Q34" s="1140">
        <f>IF(Q29&gt;=Assumptions!$D$16,'Damage Costs - Rail'!$J$100,0)</f>
        <v>173582.03226818185</v>
      </c>
      <c r="R34" s="1140">
        <f>IF(R29&gt;=Assumptions!$D$16,'Damage Costs - Rail'!$J$100,0)</f>
        <v>173582.03226818185</v>
      </c>
      <c r="S34" s="1140">
        <f>IF(S29&gt;=Assumptions!$D$16,'Damage Costs - Rail'!$J$100,0)</f>
        <v>173582.03226818185</v>
      </c>
      <c r="T34" s="1140">
        <f>IF(T29&gt;=Assumptions!$D$16,'Damage Costs - Rail'!$J$100,0)</f>
        <v>173582.03226818185</v>
      </c>
      <c r="U34" s="1140">
        <f>IF(U29&gt;=Assumptions!$D$16,'Damage Costs - Rail'!$J$100,0)</f>
        <v>173582.03226818185</v>
      </c>
      <c r="V34" s="1140">
        <f>IF(V29&gt;=Assumptions!$D$16,'Damage Costs - Rail'!$J$100,0)</f>
        <v>173582.03226818185</v>
      </c>
      <c r="W34" s="1140">
        <f>IF(W29&gt;=Assumptions!$D$16,'Damage Costs - Rail'!$J$100,0)</f>
        <v>173582.03226818185</v>
      </c>
      <c r="X34" s="1140">
        <f>IF(X29&gt;=Assumptions!$D$16,'Damage Costs - Rail'!$J$100,0)</f>
        <v>173582.03226818185</v>
      </c>
      <c r="Y34" s="1140">
        <f>IF(Y29&gt;=Assumptions!$D$16,'Damage Costs - Rail'!$J$100,0)</f>
        <v>173582.03226818185</v>
      </c>
      <c r="Z34" s="1140">
        <f>IF(Z29&gt;=Assumptions!$D$16,'Damage Costs - Rail'!$J$100,0)</f>
        <v>173582.03226818185</v>
      </c>
      <c r="AA34" s="1140">
        <f>IF(AA29&gt;=Assumptions!$D$16,'Damage Costs - Rail'!$J$100,0)</f>
        <v>173582.03226818185</v>
      </c>
      <c r="AB34" s="1140">
        <f>IF(AB29&gt;=Assumptions!$D$16,'Damage Costs - Rail'!$J$100,0)</f>
        <v>173582.03226818185</v>
      </c>
      <c r="AC34" s="1140">
        <f>IF(AC29&gt;=Assumptions!$D$16,'Damage Costs - Rail'!$J$100,0)</f>
        <v>173582.03226818185</v>
      </c>
      <c r="AD34" s="1140">
        <f>IF(AD29&gt;=Assumptions!$D$16,'Damage Costs - Rail'!$J$100,0)</f>
        <v>173582.03226818185</v>
      </c>
      <c r="AE34" s="1140">
        <f>IF(AE29&gt;=Assumptions!$D$16,'Damage Costs - Rail'!$J$100,0)</f>
        <v>173582.03226818185</v>
      </c>
      <c r="AF34" s="1140">
        <f>IF(AF29&gt;=Assumptions!$D$16,'Damage Costs - Rail'!$J$100,0)</f>
        <v>173582.03226818185</v>
      </c>
      <c r="AG34" s="1140">
        <f>IF(AG29&gt;=Assumptions!$D$16,'Damage Costs - Rail'!$J$100,0)</f>
        <v>173582.03226818185</v>
      </c>
      <c r="AH34" s="1140">
        <f>IF(AH29&gt;=Assumptions!$D$16,'Damage Costs - Rail'!$J$100,0)</f>
        <v>173582.03226818185</v>
      </c>
      <c r="AI34" s="1140">
        <f>IF(AI29&gt;=Assumptions!$D$16,'Damage Costs - Rail'!$J$100,0)</f>
        <v>173582.03226818185</v>
      </c>
      <c r="AJ34" s="1140">
        <f>IF(AJ29&gt;=Assumptions!$D$16,'Damage Costs - Rail'!$J$100,0)</f>
        <v>173582.03226818185</v>
      </c>
      <c r="AK34" s="1140">
        <f>IF(AK29&gt;=Assumptions!$D$16,'Damage Costs - Rail'!$J$100,0)</f>
        <v>173582.03226818185</v>
      </c>
      <c r="AL34" s="1140">
        <f>IF(AL29&gt;=Assumptions!$D$16,'Damage Costs - Rail'!$J$100,0)</f>
        <v>173582.03226818185</v>
      </c>
      <c r="AM34" s="1141">
        <f>IF(AM29&gt;=Assumptions!$D$16,'Damage Costs - Rail'!$J$100,0)</f>
        <v>173582.03226818185</v>
      </c>
    </row>
    <row r="35" spans="2:39" ht="15.05" customHeight="1" x14ac:dyDescent="0.25">
      <c r="B35" s="1078" t="s">
        <v>369</v>
      </c>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3"/>
    </row>
    <row r="36" spans="2:39" ht="15.05" customHeight="1" x14ac:dyDescent="0.25">
      <c r="B36" s="1072" t="s">
        <v>1011</v>
      </c>
      <c r="C36" s="1137">
        <f t="shared" ref="C36:C40" si="31">SUM(D36:AM36)</f>
        <v>73945.352000250001</v>
      </c>
      <c r="D36" s="1140">
        <f>IF(D29&gt;=Assumptions!$D$12,'Damage Costs - Road'!$J$51,0)</f>
        <v>0</v>
      </c>
      <c r="E36" s="1140">
        <f>IF(E29&gt;=Assumptions!$D$12,'Damage Costs - Road'!$J$51,0)</f>
        <v>0</v>
      </c>
      <c r="F36" s="1140">
        <f>IF(F29&gt;=Assumptions!$D$12,'Damage Costs - Road'!$J$51,0)</f>
        <v>0</v>
      </c>
      <c r="G36" s="1140">
        <f>IF(G29&gt;=Assumptions!$D$12,'Damage Costs - Road'!$J$51,0)</f>
        <v>0</v>
      </c>
      <c r="H36" s="1140">
        <f>IF(H29&gt;=Assumptions!$D$12,'Damage Costs - Road'!$J$51,0)</f>
        <v>0</v>
      </c>
      <c r="I36" s="1140">
        <f>IF(I29&gt;=Assumptions!$D$12,'Damage Costs - Road'!$J$51,0)</f>
        <v>0</v>
      </c>
      <c r="J36" s="1140">
        <f>IF(J29&gt;=Assumptions!$D$12,'Damage Costs - Road'!$J$51,0)</f>
        <v>2464.8450666750009</v>
      </c>
      <c r="K36" s="1140">
        <f>IF(K29&gt;=Assumptions!$D$12,'Damage Costs - Road'!$J$51,0)</f>
        <v>2464.8450666750009</v>
      </c>
      <c r="L36" s="1140">
        <f>IF(L29&gt;=Assumptions!$D$12,'Damage Costs - Road'!$J$51,0)</f>
        <v>2464.8450666750009</v>
      </c>
      <c r="M36" s="1140">
        <f>IF(M29&gt;=Assumptions!$D$12,'Damage Costs - Road'!$J$51,0)</f>
        <v>2464.8450666750009</v>
      </c>
      <c r="N36" s="1140">
        <f>IF(N29&gt;=Assumptions!$D$12,'Damage Costs - Road'!$J$51,0)</f>
        <v>2464.8450666750009</v>
      </c>
      <c r="O36" s="1140">
        <f>IF(O29&gt;=Assumptions!$D$12,'Damage Costs - Road'!$J$51,0)</f>
        <v>2464.8450666750009</v>
      </c>
      <c r="P36" s="1140">
        <f>IF(P29&gt;=Assumptions!$D$12,'Damage Costs - Road'!$J$51,0)</f>
        <v>2464.8450666750009</v>
      </c>
      <c r="Q36" s="1140">
        <f>IF(Q29&gt;=Assumptions!$D$12,'Damage Costs - Road'!$J$51,0)</f>
        <v>2464.8450666750009</v>
      </c>
      <c r="R36" s="1140">
        <f>IF(R29&gt;=Assumptions!$D$12,'Damage Costs - Road'!$J$51,0)</f>
        <v>2464.8450666750009</v>
      </c>
      <c r="S36" s="1140">
        <f>IF(S29&gt;=Assumptions!$D$12,'Damage Costs - Road'!$J$51,0)</f>
        <v>2464.8450666750009</v>
      </c>
      <c r="T36" s="1140">
        <f>IF(T29&gt;=Assumptions!$D$12,'Damage Costs - Road'!$J$51,0)</f>
        <v>2464.8450666750009</v>
      </c>
      <c r="U36" s="1140">
        <f>IF(U29&gt;=Assumptions!$D$12,'Damage Costs - Road'!$J$51,0)</f>
        <v>2464.8450666750009</v>
      </c>
      <c r="V36" s="1140">
        <f>IF(V29&gt;=Assumptions!$D$12,'Damage Costs - Road'!$J$51,0)</f>
        <v>2464.8450666750009</v>
      </c>
      <c r="W36" s="1140">
        <f>IF(W29&gt;=Assumptions!$D$12,'Damage Costs - Road'!$J$51,0)</f>
        <v>2464.8450666750009</v>
      </c>
      <c r="X36" s="1140">
        <f>IF(X29&gt;=Assumptions!$D$12,'Damage Costs - Road'!$J$51,0)</f>
        <v>2464.8450666750009</v>
      </c>
      <c r="Y36" s="1140">
        <f>IF(Y29&gt;=Assumptions!$D$12,'Damage Costs - Road'!$J$51,0)</f>
        <v>2464.8450666750009</v>
      </c>
      <c r="Z36" s="1140">
        <f>IF(Z29&gt;=Assumptions!$D$12,'Damage Costs - Road'!$J$51,0)</f>
        <v>2464.8450666750009</v>
      </c>
      <c r="AA36" s="1140">
        <f>IF(AA29&gt;=Assumptions!$D$12,'Damage Costs - Road'!$J$51,0)</f>
        <v>2464.8450666750009</v>
      </c>
      <c r="AB36" s="1140">
        <f>IF(AB29&gt;=Assumptions!$D$12,'Damage Costs - Road'!$J$51,0)</f>
        <v>2464.8450666750009</v>
      </c>
      <c r="AC36" s="1140">
        <f>IF(AC29&gt;=Assumptions!$D$12,'Damage Costs - Road'!$J$51,0)</f>
        <v>2464.8450666750009</v>
      </c>
      <c r="AD36" s="1140">
        <f>IF(AD29&gt;=Assumptions!$D$12,'Damage Costs - Road'!$J$51,0)</f>
        <v>2464.8450666750009</v>
      </c>
      <c r="AE36" s="1140">
        <f>IF(AE29&gt;=Assumptions!$D$12,'Damage Costs - Road'!$J$51,0)</f>
        <v>2464.8450666750009</v>
      </c>
      <c r="AF36" s="1140">
        <f>IF(AF29&gt;=Assumptions!$D$12,'Damage Costs - Road'!$J$51,0)</f>
        <v>2464.8450666750009</v>
      </c>
      <c r="AG36" s="1140">
        <f>IF(AG29&gt;=Assumptions!$D$12,'Damage Costs - Road'!$J$51,0)</f>
        <v>2464.8450666750009</v>
      </c>
      <c r="AH36" s="1140">
        <f>IF(AH29&gt;=Assumptions!$D$12,'Damage Costs - Road'!$J$51,0)</f>
        <v>2464.8450666750009</v>
      </c>
      <c r="AI36" s="1140">
        <f>IF(AI29&gt;=Assumptions!$D$12,'Damage Costs - Road'!$J$51,0)</f>
        <v>2464.8450666750009</v>
      </c>
      <c r="AJ36" s="1140">
        <f>IF(AJ29&gt;=Assumptions!$D$12,'Damage Costs - Road'!$J$51,0)</f>
        <v>2464.8450666750009</v>
      </c>
      <c r="AK36" s="1140">
        <f>IF(AK29&gt;=Assumptions!$D$12,'Damage Costs - Road'!$J$51,0)</f>
        <v>2464.8450666750009</v>
      </c>
      <c r="AL36" s="1140">
        <f>IF(AL29&gt;=Assumptions!$D$12,'Damage Costs - Road'!$J$51,0)</f>
        <v>2464.8450666750009</v>
      </c>
      <c r="AM36" s="1141">
        <f>IF(AM29&gt;=Assumptions!$D$12,'Damage Costs - Road'!$J$51,0)</f>
        <v>2464.8450666750009</v>
      </c>
    </row>
    <row r="37" spans="2:39" ht="15.05" customHeight="1" x14ac:dyDescent="0.25">
      <c r="B37" s="1072" t="s">
        <v>849</v>
      </c>
      <c r="C37" s="1137">
        <f t="shared" si="31"/>
        <v>32385.818890482955</v>
      </c>
      <c r="D37" s="1140">
        <f>IF(D29&gt;=Assumptions!$D$12,'Damage Costs - Road'!$J$65,0)</f>
        <v>0</v>
      </c>
      <c r="E37" s="1140">
        <f>IF(E29&gt;=Assumptions!$D$12,'Damage Costs - Road'!$J$65,0)</f>
        <v>0</v>
      </c>
      <c r="F37" s="1140">
        <f>IF(F29&gt;=Assumptions!$D$12,'Damage Costs - Road'!$J$65,0)</f>
        <v>0</v>
      </c>
      <c r="G37" s="1140">
        <f>IF(G29&gt;=Assumptions!$D$12,'Damage Costs - Road'!$J$65,0)</f>
        <v>0</v>
      </c>
      <c r="H37" s="1140">
        <f>IF(H29&gt;=Assumptions!$D$12,'Damage Costs - Road'!$J$65,0)</f>
        <v>0</v>
      </c>
      <c r="I37" s="1140">
        <f>IF(I29&gt;=Assumptions!$D$12,'Damage Costs - Road'!$J$65,0)</f>
        <v>0</v>
      </c>
      <c r="J37" s="1140">
        <f>IF(J29&gt;=Assumptions!$D$12,'Damage Costs - Road'!$J$65,0)</f>
        <v>1079.5272963494322</v>
      </c>
      <c r="K37" s="1140">
        <f>IF(K29&gt;=Assumptions!$D$12,'Damage Costs - Road'!$J$65,0)</f>
        <v>1079.5272963494322</v>
      </c>
      <c r="L37" s="1140">
        <f>IF(L29&gt;=Assumptions!$D$12,'Damage Costs - Road'!$J$65,0)</f>
        <v>1079.5272963494322</v>
      </c>
      <c r="M37" s="1140">
        <f>IF(M29&gt;=Assumptions!$D$12,'Damage Costs - Road'!$J$65,0)</f>
        <v>1079.5272963494322</v>
      </c>
      <c r="N37" s="1140">
        <f>IF(N29&gt;=Assumptions!$D$12,'Damage Costs - Road'!$J$65,0)</f>
        <v>1079.5272963494322</v>
      </c>
      <c r="O37" s="1140">
        <f>IF(O29&gt;=Assumptions!$D$12,'Damage Costs - Road'!$J$65,0)</f>
        <v>1079.5272963494322</v>
      </c>
      <c r="P37" s="1140">
        <f>IF(P29&gt;=Assumptions!$D$12,'Damage Costs - Road'!$J$65,0)</f>
        <v>1079.5272963494322</v>
      </c>
      <c r="Q37" s="1140">
        <f>IF(Q29&gt;=Assumptions!$D$12,'Damage Costs - Road'!$J$65,0)</f>
        <v>1079.5272963494322</v>
      </c>
      <c r="R37" s="1140">
        <f>IF(R29&gt;=Assumptions!$D$12,'Damage Costs - Road'!$J$65,0)</f>
        <v>1079.5272963494322</v>
      </c>
      <c r="S37" s="1140">
        <f>IF(S29&gt;=Assumptions!$D$12,'Damage Costs - Road'!$J$65,0)</f>
        <v>1079.5272963494322</v>
      </c>
      <c r="T37" s="1140">
        <f>IF(T29&gt;=Assumptions!$D$12,'Damage Costs - Road'!$J$65,0)</f>
        <v>1079.5272963494322</v>
      </c>
      <c r="U37" s="1140">
        <f>IF(U29&gt;=Assumptions!$D$12,'Damage Costs - Road'!$J$65,0)</f>
        <v>1079.5272963494322</v>
      </c>
      <c r="V37" s="1140">
        <f>IF(V29&gt;=Assumptions!$D$12,'Damage Costs - Road'!$J$65,0)</f>
        <v>1079.5272963494322</v>
      </c>
      <c r="W37" s="1140">
        <f>IF(W29&gt;=Assumptions!$D$12,'Damage Costs - Road'!$J$65,0)</f>
        <v>1079.5272963494322</v>
      </c>
      <c r="X37" s="1140">
        <f>IF(X29&gt;=Assumptions!$D$12,'Damage Costs - Road'!$J$65,0)</f>
        <v>1079.5272963494322</v>
      </c>
      <c r="Y37" s="1140">
        <f>IF(Y29&gt;=Assumptions!$D$12,'Damage Costs - Road'!$J$65,0)</f>
        <v>1079.5272963494322</v>
      </c>
      <c r="Z37" s="1140">
        <f>IF(Z29&gt;=Assumptions!$D$12,'Damage Costs - Road'!$J$65,0)</f>
        <v>1079.5272963494322</v>
      </c>
      <c r="AA37" s="1140">
        <f>IF(AA29&gt;=Assumptions!$D$12,'Damage Costs - Road'!$J$65,0)</f>
        <v>1079.5272963494322</v>
      </c>
      <c r="AB37" s="1140">
        <f>IF(AB29&gt;=Assumptions!$D$12,'Damage Costs - Road'!$J$65,0)</f>
        <v>1079.5272963494322</v>
      </c>
      <c r="AC37" s="1140">
        <f>IF(AC29&gt;=Assumptions!$D$12,'Damage Costs - Road'!$J$65,0)</f>
        <v>1079.5272963494322</v>
      </c>
      <c r="AD37" s="1140">
        <f>IF(AD29&gt;=Assumptions!$D$12,'Damage Costs - Road'!$J$65,0)</f>
        <v>1079.5272963494322</v>
      </c>
      <c r="AE37" s="1140">
        <f>IF(AE29&gt;=Assumptions!$D$12,'Damage Costs - Road'!$J$65,0)</f>
        <v>1079.5272963494322</v>
      </c>
      <c r="AF37" s="1140">
        <f>IF(AF29&gt;=Assumptions!$D$12,'Damage Costs - Road'!$J$65,0)</f>
        <v>1079.5272963494322</v>
      </c>
      <c r="AG37" s="1140">
        <f>IF(AG29&gt;=Assumptions!$D$12,'Damage Costs - Road'!$J$65,0)</f>
        <v>1079.5272963494322</v>
      </c>
      <c r="AH37" s="1140">
        <f>IF(AH29&gt;=Assumptions!$D$12,'Damage Costs - Road'!$J$65,0)</f>
        <v>1079.5272963494322</v>
      </c>
      <c r="AI37" s="1140">
        <f>IF(AI29&gt;=Assumptions!$D$12,'Damage Costs - Road'!$J$65,0)</f>
        <v>1079.5272963494322</v>
      </c>
      <c r="AJ37" s="1140">
        <f>IF(AJ29&gt;=Assumptions!$D$12,'Damage Costs - Road'!$J$65,0)</f>
        <v>1079.5272963494322</v>
      </c>
      <c r="AK37" s="1140">
        <f>IF(AK29&gt;=Assumptions!$D$12,'Damage Costs - Road'!$J$65,0)</f>
        <v>1079.5272963494322</v>
      </c>
      <c r="AL37" s="1140">
        <f>IF(AL29&gt;=Assumptions!$D$12,'Damage Costs - Road'!$J$65,0)</f>
        <v>1079.5272963494322</v>
      </c>
      <c r="AM37" s="1141">
        <f>IF(AM29&gt;=Assumptions!$D$12,'Damage Costs - Road'!$J$65,0)</f>
        <v>1079.5272963494322</v>
      </c>
    </row>
    <row r="38" spans="2:39" ht="15.05" customHeight="1" x14ac:dyDescent="0.25">
      <c r="B38" s="1072" t="s">
        <v>814</v>
      </c>
      <c r="C38" s="1137">
        <f t="shared" si="31"/>
        <v>141.10498591357992</v>
      </c>
      <c r="D38" s="1140">
        <f>IF(D29&gt;=Assumptions!$D$12,'Damage Costs - Road'!$J$79,0)</f>
        <v>0</v>
      </c>
      <c r="E38" s="1140">
        <f>IF(E29&gt;=Assumptions!$D$12,'Damage Costs - Road'!$J$79,0)</f>
        <v>0</v>
      </c>
      <c r="F38" s="1140">
        <f>IF(F29&gt;=Assumptions!$D$12,'Damage Costs - Road'!$J$79,0)</f>
        <v>0</v>
      </c>
      <c r="G38" s="1140">
        <f>IF(G29&gt;=Assumptions!$D$12,'Damage Costs - Road'!$J$79,0)</f>
        <v>0</v>
      </c>
      <c r="H38" s="1140">
        <f>IF(H29&gt;=Assumptions!$D$12,'Damage Costs - Road'!$J$79,0)</f>
        <v>0</v>
      </c>
      <c r="I38" s="1140">
        <f>IF(I29&gt;=Assumptions!$D$12,'Damage Costs - Road'!$J$79,0)</f>
        <v>0</v>
      </c>
      <c r="J38" s="1140">
        <f>IF(J29&gt;=Assumptions!$D$12,'Damage Costs - Road'!$J$79,0)</f>
        <v>4.7034995304526674</v>
      </c>
      <c r="K38" s="1140">
        <f>IF(K29&gt;=Assumptions!$D$12,'Damage Costs - Road'!$J$79,0)</f>
        <v>4.7034995304526674</v>
      </c>
      <c r="L38" s="1140">
        <f>IF(L29&gt;=Assumptions!$D$12,'Damage Costs - Road'!$J$79,0)</f>
        <v>4.7034995304526674</v>
      </c>
      <c r="M38" s="1140">
        <f>IF(M29&gt;=Assumptions!$D$12,'Damage Costs - Road'!$J$79,0)</f>
        <v>4.7034995304526674</v>
      </c>
      <c r="N38" s="1140">
        <f>IF(N29&gt;=Assumptions!$D$12,'Damage Costs - Road'!$J$79,0)</f>
        <v>4.7034995304526674</v>
      </c>
      <c r="O38" s="1140">
        <f>IF(O29&gt;=Assumptions!$D$12,'Damage Costs - Road'!$J$79,0)</f>
        <v>4.7034995304526674</v>
      </c>
      <c r="P38" s="1140">
        <f>IF(P29&gt;=Assumptions!$D$12,'Damage Costs - Road'!$J$79,0)</f>
        <v>4.7034995304526674</v>
      </c>
      <c r="Q38" s="1140">
        <f>IF(Q29&gt;=Assumptions!$D$12,'Damage Costs - Road'!$J$79,0)</f>
        <v>4.7034995304526674</v>
      </c>
      <c r="R38" s="1140">
        <f>IF(R29&gt;=Assumptions!$D$12,'Damage Costs - Road'!$J$79,0)</f>
        <v>4.7034995304526674</v>
      </c>
      <c r="S38" s="1140">
        <f>IF(S29&gt;=Assumptions!$D$12,'Damage Costs - Road'!$J$79,0)</f>
        <v>4.7034995304526674</v>
      </c>
      <c r="T38" s="1140">
        <f>IF(T29&gt;=Assumptions!$D$12,'Damage Costs - Road'!$J$79,0)</f>
        <v>4.7034995304526674</v>
      </c>
      <c r="U38" s="1140">
        <f>IF(U29&gt;=Assumptions!$D$12,'Damage Costs - Road'!$J$79,0)</f>
        <v>4.7034995304526674</v>
      </c>
      <c r="V38" s="1140">
        <f>IF(V29&gt;=Assumptions!$D$12,'Damage Costs - Road'!$J$79,0)</f>
        <v>4.7034995304526674</v>
      </c>
      <c r="W38" s="1140">
        <f>IF(W29&gt;=Assumptions!$D$12,'Damage Costs - Road'!$J$79,0)</f>
        <v>4.7034995304526674</v>
      </c>
      <c r="X38" s="1140">
        <f>IF(X29&gt;=Assumptions!$D$12,'Damage Costs - Road'!$J$79,0)</f>
        <v>4.7034995304526674</v>
      </c>
      <c r="Y38" s="1140">
        <f>IF(Y29&gt;=Assumptions!$D$12,'Damage Costs - Road'!$J$79,0)</f>
        <v>4.7034995304526674</v>
      </c>
      <c r="Z38" s="1140">
        <f>IF(Z29&gt;=Assumptions!$D$12,'Damage Costs - Road'!$J$79,0)</f>
        <v>4.7034995304526674</v>
      </c>
      <c r="AA38" s="1140">
        <f>IF(AA29&gt;=Assumptions!$D$12,'Damage Costs - Road'!$J$79,0)</f>
        <v>4.7034995304526674</v>
      </c>
      <c r="AB38" s="1140">
        <f>IF(AB29&gt;=Assumptions!$D$12,'Damage Costs - Road'!$J$79,0)</f>
        <v>4.7034995304526674</v>
      </c>
      <c r="AC38" s="1140">
        <f>IF(AC29&gt;=Assumptions!$D$12,'Damage Costs - Road'!$J$79,0)</f>
        <v>4.7034995304526674</v>
      </c>
      <c r="AD38" s="1140">
        <f>IF(AD29&gt;=Assumptions!$D$12,'Damage Costs - Road'!$J$79,0)</f>
        <v>4.7034995304526674</v>
      </c>
      <c r="AE38" s="1140">
        <f>IF(AE29&gt;=Assumptions!$D$12,'Damage Costs - Road'!$J$79,0)</f>
        <v>4.7034995304526674</v>
      </c>
      <c r="AF38" s="1140">
        <f>IF(AF29&gt;=Assumptions!$D$12,'Damage Costs - Road'!$J$79,0)</f>
        <v>4.7034995304526674</v>
      </c>
      <c r="AG38" s="1140">
        <f>IF(AG29&gt;=Assumptions!$D$12,'Damage Costs - Road'!$J$79,0)</f>
        <v>4.7034995304526674</v>
      </c>
      <c r="AH38" s="1140">
        <f>IF(AH29&gt;=Assumptions!$D$12,'Damage Costs - Road'!$J$79,0)</f>
        <v>4.7034995304526674</v>
      </c>
      <c r="AI38" s="1140">
        <f>IF(AI29&gt;=Assumptions!$D$12,'Damage Costs - Road'!$J$79,0)</f>
        <v>4.7034995304526674</v>
      </c>
      <c r="AJ38" s="1140">
        <f>IF(AJ29&gt;=Assumptions!$D$12,'Damage Costs - Road'!$J$79,0)</f>
        <v>4.7034995304526674</v>
      </c>
      <c r="AK38" s="1140">
        <f>IF(AK29&gt;=Assumptions!$D$12,'Damage Costs - Road'!$J$79,0)</f>
        <v>4.7034995304526674</v>
      </c>
      <c r="AL38" s="1140">
        <f>IF(AL29&gt;=Assumptions!$D$12,'Damage Costs - Road'!$J$79,0)</f>
        <v>4.7034995304526674</v>
      </c>
      <c r="AM38" s="1141">
        <f>IF(AM29&gt;=Assumptions!$D$12,'Damage Costs - Road'!$J$79,0)</f>
        <v>4.7034995304526674</v>
      </c>
    </row>
    <row r="39" spans="2:39" ht="15.05" customHeight="1" x14ac:dyDescent="0.25">
      <c r="B39" s="1072" t="s">
        <v>850</v>
      </c>
      <c r="C39" s="1137">
        <f t="shared" si="31"/>
        <v>106344.00000000013</v>
      </c>
      <c r="D39" s="1140">
        <f>Safety!D41</f>
        <v>0</v>
      </c>
      <c r="E39" s="1140">
        <f>Safety!E41</f>
        <v>0</v>
      </c>
      <c r="F39" s="1140">
        <f>Safety!F41</f>
        <v>0</v>
      </c>
      <c r="G39" s="1140">
        <f>Safety!G41</f>
        <v>0</v>
      </c>
      <c r="H39" s="1140">
        <f>Safety!H41</f>
        <v>0</v>
      </c>
      <c r="I39" s="1140">
        <f>Safety!I41</f>
        <v>0</v>
      </c>
      <c r="J39" s="1140">
        <f>Safety!J41</f>
        <v>3544.8000000000065</v>
      </c>
      <c r="K39" s="1140">
        <f>Safety!K41</f>
        <v>3544.8000000000065</v>
      </c>
      <c r="L39" s="1140">
        <f>Safety!L41</f>
        <v>3544.8000000000065</v>
      </c>
      <c r="M39" s="1140">
        <f>Safety!M41</f>
        <v>3544.8000000000065</v>
      </c>
      <c r="N39" s="1140">
        <f>Safety!N41</f>
        <v>3544.8000000000065</v>
      </c>
      <c r="O39" s="1140">
        <f>Safety!O41</f>
        <v>3544.8000000000065</v>
      </c>
      <c r="P39" s="1140">
        <f>Safety!P41</f>
        <v>3544.8000000000065</v>
      </c>
      <c r="Q39" s="1140">
        <f>Safety!Q41</f>
        <v>3544.8000000000065</v>
      </c>
      <c r="R39" s="1140">
        <f>Safety!R41</f>
        <v>3544.8000000000065</v>
      </c>
      <c r="S39" s="1140">
        <f>Safety!S41</f>
        <v>3544.8000000000065</v>
      </c>
      <c r="T39" s="1140">
        <f>Safety!T41</f>
        <v>3544.8000000000065</v>
      </c>
      <c r="U39" s="1140">
        <f>Safety!U41</f>
        <v>3544.8000000000065</v>
      </c>
      <c r="V39" s="1140">
        <f>Safety!V41</f>
        <v>3544.8000000000065</v>
      </c>
      <c r="W39" s="1140">
        <f>Safety!W41</f>
        <v>3544.8000000000065</v>
      </c>
      <c r="X39" s="1140">
        <f>Safety!X41</f>
        <v>3544.8000000000065</v>
      </c>
      <c r="Y39" s="1140">
        <f>Safety!Y41</f>
        <v>3544.8000000000065</v>
      </c>
      <c r="Z39" s="1140">
        <f>Safety!Z41</f>
        <v>3544.8000000000065</v>
      </c>
      <c r="AA39" s="1140">
        <f>Safety!AA41</f>
        <v>3544.8000000000065</v>
      </c>
      <c r="AB39" s="1140">
        <f>Safety!AB41</f>
        <v>3544.8000000000065</v>
      </c>
      <c r="AC39" s="1140">
        <f>Safety!AC41</f>
        <v>3544.8000000000065</v>
      </c>
      <c r="AD39" s="1140">
        <f>Safety!AD41</f>
        <v>3544.8000000000065</v>
      </c>
      <c r="AE39" s="1140">
        <f>Safety!AE41</f>
        <v>3544.8000000000065</v>
      </c>
      <c r="AF39" s="1140">
        <f>Safety!AF41</f>
        <v>3544.8000000000065</v>
      </c>
      <c r="AG39" s="1140">
        <f>Safety!AG41</f>
        <v>3544.8000000000065</v>
      </c>
      <c r="AH39" s="1140">
        <f>Safety!AH41</f>
        <v>3544.8000000000065</v>
      </c>
      <c r="AI39" s="1140">
        <f>Safety!AI41</f>
        <v>3544.8000000000065</v>
      </c>
      <c r="AJ39" s="1140">
        <f>Safety!AJ41</f>
        <v>3544.8000000000065</v>
      </c>
      <c r="AK39" s="1140">
        <f>Safety!AK41</f>
        <v>3544.8000000000065</v>
      </c>
      <c r="AL39" s="1140">
        <f>Safety!AL41</f>
        <v>3544.8000000000065</v>
      </c>
      <c r="AM39" s="1140">
        <f>Safety!AM41</f>
        <v>3544.8000000000065</v>
      </c>
    </row>
    <row r="40" spans="2:39" ht="15.05" customHeight="1" x14ac:dyDescent="0.25">
      <c r="B40" s="667" t="s">
        <v>575</v>
      </c>
      <c r="C40" s="1137">
        <f t="shared" si="31"/>
        <v>29383651.255333483</v>
      </c>
      <c r="D40" s="1140">
        <f>'Residual Value '!F15</f>
        <v>0</v>
      </c>
      <c r="E40" s="1140">
        <f>'Residual Value '!G15</f>
        <v>0</v>
      </c>
      <c r="F40" s="1140">
        <f>'Residual Value '!H15</f>
        <v>0</v>
      </c>
      <c r="G40" s="1140">
        <f>'Residual Value '!I15</f>
        <v>0</v>
      </c>
      <c r="H40" s="1140">
        <f>'Residual Value '!J15</f>
        <v>0</v>
      </c>
      <c r="I40" s="1140">
        <f>'Residual Value '!K15</f>
        <v>0</v>
      </c>
      <c r="J40" s="1140">
        <f>'Residual Value '!L15</f>
        <v>0</v>
      </c>
      <c r="K40" s="1140">
        <f>'Residual Value '!M15</f>
        <v>0</v>
      </c>
      <c r="L40" s="1140">
        <f>'Residual Value '!N15</f>
        <v>0</v>
      </c>
      <c r="M40" s="1140">
        <f>'Residual Value '!O15</f>
        <v>0</v>
      </c>
      <c r="N40" s="1140">
        <f>'Residual Value '!P15</f>
        <v>0</v>
      </c>
      <c r="O40" s="1140">
        <f>'Residual Value '!Q15</f>
        <v>0</v>
      </c>
      <c r="P40" s="1140">
        <f>'Residual Value '!R15</f>
        <v>0</v>
      </c>
      <c r="Q40" s="1140">
        <f>'Residual Value '!S15</f>
        <v>0</v>
      </c>
      <c r="R40" s="1140">
        <f>'Residual Value '!T15</f>
        <v>0</v>
      </c>
      <c r="S40" s="1140">
        <f>'Residual Value '!U15</f>
        <v>0</v>
      </c>
      <c r="T40" s="1140">
        <f>'Residual Value '!V15</f>
        <v>0</v>
      </c>
      <c r="U40" s="1140">
        <f>'Residual Value '!W15</f>
        <v>0</v>
      </c>
      <c r="V40" s="1140">
        <f>'Residual Value '!X15</f>
        <v>0</v>
      </c>
      <c r="W40" s="1140">
        <f>'Residual Value '!Y15</f>
        <v>0</v>
      </c>
      <c r="X40" s="1140">
        <f>'Residual Value '!Z15</f>
        <v>0</v>
      </c>
      <c r="Y40" s="1140">
        <f>'Residual Value '!AA15</f>
        <v>0</v>
      </c>
      <c r="Z40" s="1140">
        <f>'Residual Value '!AB15</f>
        <v>0</v>
      </c>
      <c r="AA40" s="1140">
        <f>'Residual Value '!AC15</f>
        <v>0</v>
      </c>
      <c r="AB40" s="1140">
        <f>'Residual Value '!AD15</f>
        <v>0</v>
      </c>
      <c r="AC40" s="1140">
        <f>'Residual Value '!AE15</f>
        <v>0</v>
      </c>
      <c r="AD40" s="1140">
        <f>'Residual Value '!AF15</f>
        <v>0</v>
      </c>
      <c r="AE40" s="1140">
        <f>'Residual Value '!AG15</f>
        <v>0</v>
      </c>
      <c r="AF40" s="1140">
        <f>'Residual Value '!AH15</f>
        <v>0</v>
      </c>
      <c r="AG40" s="1140">
        <f>'Residual Value '!AI15</f>
        <v>0</v>
      </c>
      <c r="AH40" s="1140">
        <f>'Residual Value '!AJ15</f>
        <v>0</v>
      </c>
      <c r="AI40" s="1140">
        <f>'Residual Value '!AK15</f>
        <v>0</v>
      </c>
      <c r="AJ40" s="1140">
        <f>'Residual Value '!AL15</f>
        <v>0</v>
      </c>
      <c r="AK40" s="1140">
        <f>'Residual Value '!AM15</f>
        <v>0</v>
      </c>
      <c r="AL40" s="1140">
        <f>'Residual Value '!AN15</f>
        <v>0</v>
      </c>
      <c r="AM40" s="1140">
        <f>'Residual Value '!AO15</f>
        <v>29383651.255333483</v>
      </c>
    </row>
    <row r="41" spans="2:39" ht="15.05" customHeight="1" x14ac:dyDescent="0.25">
      <c r="B41" s="668" t="s">
        <v>568</v>
      </c>
      <c r="C41" s="1144">
        <f>SUM(D41:AM41)</f>
        <v>175767336.60796377</v>
      </c>
      <c r="D41" s="1144">
        <f>SUM(D31:D34,D36:D40)</f>
        <v>0</v>
      </c>
      <c r="E41" s="1144">
        <f t="shared" ref="E41:AK41" si="32">SUM(E31:E34,E36:E40)</f>
        <v>0</v>
      </c>
      <c r="F41" s="1144">
        <f t="shared" si="32"/>
        <v>0</v>
      </c>
      <c r="G41" s="1144">
        <f t="shared" si="32"/>
        <v>0</v>
      </c>
      <c r="H41" s="1144">
        <f t="shared" si="32"/>
        <v>0</v>
      </c>
      <c r="I41" s="1144">
        <f t="shared" si="32"/>
        <v>0</v>
      </c>
      <c r="J41" s="1144">
        <f t="shared" si="32"/>
        <v>4879456.1784210103</v>
      </c>
      <c r="K41" s="1144">
        <f t="shared" si="32"/>
        <v>4879456.1784210103</v>
      </c>
      <c r="L41" s="1144">
        <f t="shared" si="32"/>
        <v>4879456.1784210103</v>
      </c>
      <c r="M41" s="1144">
        <f t="shared" si="32"/>
        <v>4879456.1784210103</v>
      </c>
      <c r="N41" s="1144">
        <f t="shared" si="32"/>
        <v>4879456.1784210103</v>
      </c>
      <c r="O41" s="1144">
        <f t="shared" si="32"/>
        <v>4879456.1784210103</v>
      </c>
      <c r="P41" s="1144">
        <f t="shared" si="32"/>
        <v>4879456.1784210103</v>
      </c>
      <c r="Q41" s="1144">
        <f t="shared" si="32"/>
        <v>4879456.1784210103</v>
      </c>
      <c r="R41" s="1144">
        <f t="shared" si="32"/>
        <v>4879456.1784210103</v>
      </c>
      <c r="S41" s="1144">
        <f t="shared" si="32"/>
        <v>4879456.1784210103</v>
      </c>
      <c r="T41" s="1144">
        <f t="shared" si="32"/>
        <v>4879456.1784210103</v>
      </c>
      <c r="U41" s="1144">
        <f t="shared" si="32"/>
        <v>4879456.1784210103</v>
      </c>
      <c r="V41" s="1144">
        <f t="shared" si="32"/>
        <v>4879456.1784210103</v>
      </c>
      <c r="W41" s="1144">
        <f t="shared" si="32"/>
        <v>4879456.1784210103</v>
      </c>
      <c r="X41" s="1144">
        <f t="shared" si="32"/>
        <v>4879456.1784210103</v>
      </c>
      <c r="Y41" s="1144">
        <f t="shared" si="32"/>
        <v>4879456.1784210103</v>
      </c>
      <c r="Z41" s="1144">
        <f t="shared" si="32"/>
        <v>4879456.1784210103</v>
      </c>
      <c r="AA41" s="1144">
        <f t="shared" si="32"/>
        <v>4879456.1784210103</v>
      </c>
      <c r="AB41" s="1144">
        <f t="shared" si="32"/>
        <v>4879456.1784210103</v>
      </c>
      <c r="AC41" s="1144">
        <f t="shared" si="32"/>
        <v>4879456.1784210103</v>
      </c>
      <c r="AD41" s="1144">
        <f t="shared" si="32"/>
        <v>4879456.1784210103</v>
      </c>
      <c r="AE41" s="1144">
        <f t="shared" si="32"/>
        <v>4879456.1784210103</v>
      </c>
      <c r="AF41" s="1144">
        <f t="shared" si="32"/>
        <v>4879456.1784210103</v>
      </c>
      <c r="AG41" s="1144">
        <f t="shared" si="32"/>
        <v>4879456.1784210103</v>
      </c>
      <c r="AH41" s="1144">
        <f t="shared" si="32"/>
        <v>4879456.1784210103</v>
      </c>
      <c r="AI41" s="1144">
        <f t="shared" si="32"/>
        <v>4879456.1784210103</v>
      </c>
      <c r="AJ41" s="1144">
        <f t="shared" si="32"/>
        <v>4879456.1784210103</v>
      </c>
      <c r="AK41" s="1144">
        <f t="shared" si="32"/>
        <v>4879456.1784210103</v>
      </c>
      <c r="AL41" s="1144">
        <f t="shared" ref="AL41" si="33">SUM(AL31:AL34,AL36:AL40)</f>
        <v>4879456.1784210103</v>
      </c>
      <c r="AM41" s="1145">
        <f t="shared" ref="AM41" si="34">SUM(AM31:AM34,AM36:AM40)</f>
        <v>34263107.433754496</v>
      </c>
    </row>
    <row r="42" spans="2:39" ht="15.05" customHeight="1" x14ac:dyDescent="0.25">
      <c r="B42" s="667" t="s">
        <v>569</v>
      </c>
      <c r="C42" s="1137">
        <f t="shared" ref="C42:C43" si="35">SUM(D42:AM42)</f>
        <v>73459128.138333708</v>
      </c>
      <c r="D42" s="1140">
        <f>'Project Costs'!D18</f>
        <v>0</v>
      </c>
      <c r="E42" s="1140">
        <f>'Project Costs'!E18</f>
        <v>7378880.215584999</v>
      </c>
      <c r="F42" s="1140">
        <f>'Project Costs'!F18</f>
        <v>16857008.219178084</v>
      </c>
      <c r="G42" s="1140">
        <f>'Project Costs'!G18</f>
        <v>22095431.394565463</v>
      </c>
      <c r="H42" s="1140">
        <f>'Project Costs'!H18</f>
        <v>21215492.656635977</v>
      </c>
      <c r="I42" s="1140">
        <f>'Project Costs'!I18</f>
        <v>5912315.6523691891</v>
      </c>
      <c r="J42" s="1140">
        <f>'Project Costs'!J18</f>
        <v>0</v>
      </c>
      <c r="K42" s="1140">
        <f>'Project Costs'!K18</f>
        <v>0</v>
      </c>
      <c r="L42" s="1140">
        <f>'Project Costs'!L18</f>
        <v>0</v>
      </c>
      <c r="M42" s="1140">
        <f>'Project Costs'!M18</f>
        <v>0</v>
      </c>
      <c r="N42" s="1140">
        <f>'Project Costs'!N18</f>
        <v>0</v>
      </c>
      <c r="O42" s="1140">
        <f>'Project Costs'!O18</f>
        <v>0</v>
      </c>
      <c r="P42" s="1140">
        <f>'Project Costs'!P18</f>
        <v>0</v>
      </c>
      <c r="Q42" s="1140">
        <f>'Project Costs'!Q18</f>
        <v>0</v>
      </c>
      <c r="R42" s="1140">
        <f>'Project Costs'!R18</f>
        <v>0</v>
      </c>
      <c r="S42" s="1140">
        <f>'Project Costs'!S18</f>
        <v>0</v>
      </c>
      <c r="T42" s="1140">
        <f>'Project Costs'!T18</f>
        <v>0</v>
      </c>
      <c r="U42" s="1140">
        <f>'Project Costs'!U18</f>
        <v>0</v>
      </c>
      <c r="V42" s="1140">
        <f>'Project Costs'!V18</f>
        <v>0</v>
      </c>
      <c r="W42" s="1140">
        <f>'Project Costs'!W18</f>
        <v>0</v>
      </c>
      <c r="X42" s="1140">
        <f>'Project Costs'!X18</f>
        <v>0</v>
      </c>
      <c r="Y42" s="1140">
        <f>'Project Costs'!Y18</f>
        <v>0</v>
      </c>
      <c r="Z42" s="1140">
        <f>'Project Costs'!Z18</f>
        <v>0</v>
      </c>
      <c r="AA42" s="1140">
        <f>'Project Costs'!AA18</f>
        <v>0</v>
      </c>
      <c r="AB42" s="1140">
        <f>'Project Costs'!AB18</f>
        <v>0</v>
      </c>
      <c r="AC42" s="1140">
        <f>'Project Costs'!AC18</f>
        <v>0</v>
      </c>
      <c r="AD42" s="1140">
        <f>'Project Costs'!AD18</f>
        <v>0</v>
      </c>
      <c r="AE42" s="1140">
        <f>'Project Costs'!AE18</f>
        <v>0</v>
      </c>
      <c r="AF42" s="1140">
        <f>'Project Costs'!AF18</f>
        <v>0</v>
      </c>
      <c r="AG42" s="1140">
        <f>'Project Costs'!AG18</f>
        <v>0</v>
      </c>
      <c r="AH42" s="1140">
        <f>'Project Costs'!AH18</f>
        <v>0</v>
      </c>
      <c r="AI42" s="1140">
        <f>'Project Costs'!AI18</f>
        <v>0</v>
      </c>
      <c r="AJ42" s="1140">
        <f>'Project Costs'!AJ18</f>
        <v>0</v>
      </c>
      <c r="AK42" s="1140">
        <f>'Project Costs'!AK18</f>
        <v>0</v>
      </c>
      <c r="AL42" s="1140">
        <f>'Project Costs'!AL18</f>
        <v>0</v>
      </c>
      <c r="AM42" s="1141">
        <f>'Project Costs'!AM18</f>
        <v>0</v>
      </c>
    </row>
    <row r="43" spans="2:39" ht="15.05" customHeight="1" x14ac:dyDescent="0.25">
      <c r="B43" s="667" t="s">
        <v>583</v>
      </c>
      <c r="C43" s="1137">
        <f t="shared" si="35"/>
        <v>0</v>
      </c>
      <c r="D43" s="1140">
        <v>0</v>
      </c>
      <c r="E43" s="1140">
        <v>0</v>
      </c>
      <c r="F43" s="1140">
        <v>0</v>
      </c>
      <c r="G43" s="1140">
        <v>0</v>
      </c>
      <c r="H43" s="1140">
        <v>0</v>
      </c>
      <c r="I43" s="1140">
        <v>0</v>
      </c>
      <c r="J43" s="1140">
        <v>0</v>
      </c>
      <c r="K43" s="1140">
        <v>0</v>
      </c>
      <c r="L43" s="1140">
        <v>0</v>
      </c>
      <c r="M43" s="1140">
        <v>0</v>
      </c>
      <c r="N43" s="1140">
        <v>0</v>
      </c>
      <c r="O43" s="1140">
        <v>0</v>
      </c>
      <c r="P43" s="1140">
        <v>0</v>
      </c>
      <c r="Q43" s="1140">
        <v>0</v>
      </c>
      <c r="R43" s="1140">
        <v>0</v>
      </c>
      <c r="S43" s="1140">
        <v>0</v>
      </c>
      <c r="T43" s="1140">
        <v>0</v>
      </c>
      <c r="U43" s="1140">
        <v>0</v>
      </c>
      <c r="V43" s="1140">
        <v>0</v>
      </c>
      <c r="W43" s="1140">
        <v>0</v>
      </c>
      <c r="X43" s="1140">
        <v>0</v>
      </c>
      <c r="Y43" s="1140">
        <v>0</v>
      </c>
      <c r="Z43" s="1140">
        <v>0</v>
      </c>
      <c r="AA43" s="1140">
        <v>0</v>
      </c>
      <c r="AB43" s="1140">
        <v>0</v>
      </c>
      <c r="AC43" s="1140">
        <v>0</v>
      </c>
      <c r="AD43" s="1140">
        <v>0</v>
      </c>
      <c r="AE43" s="1140">
        <v>0</v>
      </c>
      <c r="AF43" s="1140">
        <v>0</v>
      </c>
      <c r="AG43" s="1140">
        <v>0</v>
      </c>
      <c r="AH43" s="1140">
        <v>0</v>
      </c>
      <c r="AI43" s="1140">
        <v>0</v>
      </c>
      <c r="AJ43" s="1140">
        <v>0</v>
      </c>
      <c r="AK43" s="1140">
        <v>0</v>
      </c>
      <c r="AL43" s="1140">
        <v>0</v>
      </c>
      <c r="AM43" s="1140">
        <v>0</v>
      </c>
    </row>
    <row r="44" spans="2:39" ht="15.05" customHeight="1" x14ac:dyDescent="0.25">
      <c r="B44" s="668" t="s">
        <v>570</v>
      </c>
      <c r="C44" s="1144">
        <f>SUM(D44:AM44)</f>
        <v>73459128.138333708</v>
      </c>
      <c r="D44" s="1144">
        <f t="shared" ref="D44:AJ44" si="36">SUM(D42:D43)</f>
        <v>0</v>
      </c>
      <c r="E44" s="1144">
        <f t="shared" si="36"/>
        <v>7378880.215584999</v>
      </c>
      <c r="F44" s="1144">
        <f t="shared" si="36"/>
        <v>16857008.219178084</v>
      </c>
      <c r="G44" s="1144">
        <f t="shared" si="36"/>
        <v>22095431.394565463</v>
      </c>
      <c r="H44" s="1144">
        <f t="shared" si="36"/>
        <v>21215492.656635977</v>
      </c>
      <c r="I44" s="1144">
        <f t="shared" si="36"/>
        <v>5912315.6523691891</v>
      </c>
      <c r="J44" s="1144">
        <f t="shared" si="36"/>
        <v>0</v>
      </c>
      <c r="K44" s="1144">
        <f t="shared" si="36"/>
        <v>0</v>
      </c>
      <c r="L44" s="1144">
        <f t="shared" si="36"/>
        <v>0</v>
      </c>
      <c r="M44" s="1144">
        <f t="shared" si="36"/>
        <v>0</v>
      </c>
      <c r="N44" s="1144">
        <f t="shared" si="36"/>
        <v>0</v>
      </c>
      <c r="O44" s="1144">
        <f t="shared" si="36"/>
        <v>0</v>
      </c>
      <c r="P44" s="1144">
        <f t="shared" si="36"/>
        <v>0</v>
      </c>
      <c r="Q44" s="1144">
        <f t="shared" si="36"/>
        <v>0</v>
      </c>
      <c r="R44" s="1144">
        <f t="shared" si="36"/>
        <v>0</v>
      </c>
      <c r="S44" s="1144">
        <f t="shared" si="36"/>
        <v>0</v>
      </c>
      <c r="T44" s="1144">
        <f t="shared" si="36"/>
        <v>0</v>
      </c>
      <c r="U44" s="1144">
        <f t="shared" si="36"/>
        <v>0</v>
      </c>
      <c r="V44" s="1144">
        <f t="shared" si="36"/>
        <v>0</v>
      </c>
      <c r="W44" s="1144">
        <f t="shared" si="36"/>
        <v>0</v>
      </c>
      <c r="X44" s="1144">
        <f t="shared" si="36"/>
        <v>0</v>
      </c>
      <c r="Y44" s="1144">
        <f t="shared" si="36"/>
        <v>0</v>
      </c>
      <c r="Z44" s="1144">
        <f t="shared" si="36"/>
        <v>0</v>
      </c>
      <c r="AA44" s="1144">
        <f t="shared" si="36"/>
        <v>0</v>
      </c>
      <c r="AB44" s="1144">
        <f t="shared" si="36"/>
        <v>0</v>
      </c>
      <c r="AC44" s="1144">
        <f t="shared" si="36"/>
        <v>0</v>
      </c>
      <c r="AD44" s="1144">
        <f t="shared" si="36"/>
        <v>0</v>
      </c>
      <c r="AE44" s="1144">
        <f t="shared" si="36"/>
        <v>0</v>
      </c>
      <c r="AF44" s="1144">
        <f t="shared" si="36"/>
        <v>0</v>
      </c>
      <c r="AG44" s="1144">
        <f t="shared" si="36"/>
        <v>0</v>
      </c>
      <c r="AH44" s="1144">
        <f t="shared" si="36"/>
        <v>0</v>
      </c>
      <c r="AI44" s="1144">
        <f t="shared" si="36"/>
        <v>0</v>
      </c>
      <c r="AJ44" s="1144">
        <f t="shared" si="36"/>
        <v>0</v>
      </c>
      <c r="AK44" s="1145">
        <f t="shared" ref="AK44" si="37">SUM(AK42:AK43)</f>
        <v>0</v>
      </c>
      <c r="AL44" s="1145">
        <f t="shared" ref="AL44:AM44" si="38">SUM(AL42:AL43)</f>
        <v>0</v>
      </c>
      <c r="AM44" s="1145">
        <f t="shared" si="38"/>
        <v>0</v>
      </c>
    </row>
    <row r="45" spans="2:39" ht="15.05" customHeight="1" x14ac:dyDescent="0.25">
      <c r="B45" s="726" t="s">
        <v>612</v>
      </c>
      <c r="C45" s="1146">
        <f>SUM(D45:AM45)</f>
        <v>102308208.46963012</v>
      </c>
      <c r="D45" s="1146">
        <f>D41-D44</f>
        <v>0</v>
      </c>
      <c r="E45" s="1146">
        <f t="shared" ref="E45:AJ45" si="39">E41-E44</f>
        <v>-7378880.215584999</v>
      </c>
      <c r="F45" s="1146">
        <f t="shared" si="39"/>
        <v>-16857008.219178084</v>
      </c>
      <c r="G45" s="1146">
        <f t="shared" si="39"/>
        <v>-22095431.394565463</v>
      </c>
      <c r="H45" s="1146">
        <f t="shared" si="39"/>
        <v>-21215492.656635977</v>
      </c>
      <c r="I45" s="1146">
        <f t="shared" si="39"/>
        <v>-5912315.6523691891</v>
      </c>
      <c r="J45" s="1146">
        <f t="shared" si="39"/>
        <v>4879456.1784210103</v>
      </c>
      <c r="K45" s="1146">
        <f t="shared" si="39"/>
        <v>4879456.1784210103</v>
      </c>
      <c r="L45" s="1146">
        <f t="shared" si="39"/>
        <v>4879456.1784210103</v>
      </c>
      <c r="M45" s="1146">
        <f t="shared" si="39"/>
        <v>4879456.1784210103</v>
      </c>
      <c r="N45" s="1146">
        <f t="shared" si="39"/>
        <v>4879456.1784210103</v>
      </c>
      <c r="O45" s="1146">
        <f t="shared" si="39"/>
        <v>4879456.1784210103</v>
      </c>
      <c r="P45" s="1146">
        <f t="shared" si="39"/>
        <v>4879456.1784210103</v>
      </c>
      <c r="Q45" s="1146">
        <f t="shared" si="39"/>
        <v>4879456.1784210103</v>
      </c>
      <c r="R45" s="1146">
        <f t="shared" si="39"/>
        <v>4879456.1784210103</v>
      </c>
      <c r="S45" s="1146">
        <f t="shared" si="39"/>
        <v>4879456.1784210103</v>
      </c>
      <c r="T45" s="1146">
        <f t="shared" si="39"/>
        <v>4879456.1784210103</v>
      </c>
      <c r="U45" s="1146">
        <f t="shared" si="39"/>
        <v>4879456.1784210103</v>
      </c>
      <c r="V45" s="1146">
        <f t="shared" si="39"/>
        <v>4879456.1784210103</v>
      </c>
      <c r="W45" s="1146">
        <f t="shared" si="39"/>
        <v>4879456.1784210103</v>
      </c>
      <c r="X45" s="1146">
        <f t="shared" si="39"/>
        <v>4879456.1784210103</v>
      </c>
      <c r="Y45" s="1146">
        <f t="shared" si="39"/>
        <v>4879456.1784210103</v>
      </c>
      <c r="Z45" s="1146">
        <f>Z41-Z44</f>
        <v>4879456.1784210103</v>
      </c>
      <c r="AA45" s="1146">
        <f t="shared" si="39"/>
        <v>4879456.1784210103</v>
      </c>
      <c r="AB45" s="1146">
        <f t="shared" si="39"/>
        <v>4879456.1784210103</v>
      </c>
      <c r="AC45" s="1146">
        <f t="shared" si="39"/>
        <v>4879456.1784210103</v>
      </c>
      <c r="AD45" s="1146">
        <f t="shared" si="39"/>
        <v>4879456.1784210103</v>
      </c>
      <c r="AE45" s="1146">
        <f t="shared" si="39"/>
        <v>4879456.1784210103</v>
      </c>
      <c r="AF45" s="1146">
        <f t="shared" si="39"/>
        <v>4879456.1784210103</v>
      </c>
      <c r="AG45" s="1146">
        <f t="shared" si="39"/>
        <v>4879456.1784210103</v>
      </c>
      <c r="AH45" s="1146">
        <f t="shared" si="39"/>
        <v>4879456.1784210103</v>
      </c>
      <c r="AI45" s="1146">
        <f t="shared" si="39"/>
        <v>4879456.1784210103</v>
      </c>
      <c r="AJ45" s="1146">
        <f t="shared" si="39"/>
        <v>4879456.1784210103</v>
      </c>
      <c r="AK45" s="1147">
        <f t="shared" ref="AK45" si="40">AK41-AK44</f>
        <v>4879456.1784210103</v>
      </c>
      <c r="AL45" s="1147">
        <f t="shared" ref="AL45:AM45" si="41">AL41-AL44</f>
        <v>4879456.1784210103</v>
      </c>
      <c r="AM45" s="1147">
        <f t="shared" si="41"/>
        <v>34263107.433754496</v>
      </c>
    </row>
    <row r="46" spans="2:39" ht="15.05" customHeight="1" x14ac:dyDescent="0.25">
      <c r="B46" s="727" t="s">
        <v>613</v>
      </c>
      <c r="C46" s="1148"/>
      <c r="D46" s="1148">
        <f>D45</f>
        <v>0</v>
      </c>
      <c r="E46" s="1148">
        <f>D46+E45</f>
        <v>-7378880.215584999</v>
      </c>
      <c r="F46" s="1148">
        <f>E46+F45</f>
        <v>-24235888.434763081</v>
      </c>
      <c r="G46" s="1148">
        <f>F46+G45</f>
        <v>-46331319.829328544</v>
      </c>
      <c r="H46" s="1148">
        <f t="shared" ref="H46:AJ46" si="42">G46+H45</f>
        <v>-67546812.485964522</v>
      </c>
      <c r="I46" s="1148">
        <f t="shared" si="42"/>
        <v>-73459128.138333708</v>
      </c>
      <c r="J46" s="1148">
        <f t="shared" si="42"/>
        <v>-68579671.959912702</v>
      </c>
      <c r="K46" s="1148">
        <f t="shared" si="42"/>
        <v>-63700215.781491689</v>
      </c>
      <c r="L46" s="1148">
        <f t="shared" si="42"/>
        <v>-58820759.603070676</v>
      </c>
      <c r="M46" s="1148">
        <f t="shared" si="42"/>
        <v>-53941303.424649663</v>
      </c>
      <c r="N46" s="1148">
        <f t="shared" si="42"/>
        <v>-49061847.24622865</v>
      </c>
      <c r="O46" s="1148">
        <f t="shared" si="42"/>
        <v>-44182391.067807637</v>
      </c>
      <c r="P46" s="1148">
        <f t="shared" si="42"/>
        <v>-39302934.889386624</v>
      </c>
      <c r="Q46" s="1148">
        <f t="shared" si="42"/>
        <v>-34423478.710965611</v>
      </c>
      <c r="R46" s="1148">
        <f t="shared" si="42"/>
        <v>-29544022.532544602</v>
      </c>
      <c r="S46" s="1148">
        <f t="shared" si="42"/>
        <v>-24664566.354123592</v>
      </c>
      <c r="T46" s="1148">
        <f t="shared" si="42"/>
        <v>-19785110.175702583</v>
      </c>
      <c r="U46" s="1148">
        <f t="shared" si="42"/>
        <v>-14905653.997281574</v>
      </c>
      <c r="V46" s="1148">
        <f t="shared" si="42"/>
        <v>-10026197.818860564</v>
      </c>
      <c r="W46" s="1148">
        <f t="shared" si="42"/>
        <v>-5146741.6404395541</v>
      </c>
      <c r="X46" s="1148">
        <f t="shared" si="42"/>
        <v>-267285.46201854385</v>
      </c>
      <c r="Y46" s="1148">
        <f t="shared" si="42"/>
        <v>4612170.7164024664</v>
      </c>
      <c r="Z46" s="1148">
        <f>Y46+Z45</f>
        <v>9491626.8948234767</v>
      </c>
      <c r="AA46" s="1148">
        <f>Z46+AA45</f>
        <v>14371083.073244486</v>
      </c>
      <c r="AB46" s="1148">
        <f t="shared" si="42"/>
        <v>19250539.251665495</v>
      </c>
      <c r="AC46" s="1148">
        <f t="shared" si="42"/>
        <v>24129995.430086505</v>
      </c>
      <c r="AD46" s="1148">
        <f t="shared" si="42"/>
        <v>29009451.608507514</v>
      </c>
      <c r="AE46" s="1148">
        <f t="shared" si="42"/>
        <v>33888907.786928527</v>
      </c>
      <c r="AF46" s="1148">
        <f t="shared" si="42"/>
        <v>38768363.96534954</v>
      </c>
      <c r="AG46" s="1148">
        <f t="shared" si="42"/>
        <v>43647820.143770553</v>
      </c>
      <c r="AH46" s="1148">
        <f t="shared" si="42"/>
        <v>48527276.322191566</v>
      </c>
      <c r="AI46" s="1148">
        <f t="shared" si="42"/>
        <v>53406732.500612579</v>
      </c>
      <c r="AJ46" s="1148">
        <f t="shared" si="42"/>
        <v>58286188.679033592</v>
      </c>
      <c r="AK46" s="1149">
        <f t="shared" ref="AK46" si="43">AJ46+AK45</f>
        <v>63165644.857454605</v>
      </c>
      <c r="AL46" s="1149">
        <f t="shared" ref="AL46" si="44">AK46+AL45</f>
        <v>68045101.035875618</v>
      </c>
      <c r="AM46" s="1149">
        <f t="shared" ref="AM46" si="45">AL46+AM45</f>
        <v>102308208.46963012</v>
      </c>
    </row>
    <row r="47" spans="2:39" ht="14.25" customHeight="1" x14ac:dyDescent="0.25"/>
    <row r="48" spans="2:39" ht="15.05" customHeight="1" x14ac:dyDescent="0.25">
      <c r="B48" s="725" t="s">
        <v>611</v>
      </c>
      <c r="C48" s="670" t="s">
        <v>393</v>
      </c>
      <c r="D48" s="670">
        <f t="shared" ref="D48:AK48" si="46">D29</f>
        <v>2019</v>
      </c>
      <c r="E48" s="670">
        <f t="shared" si="46"/>
        <v>2020</v>
      </c>
      <c r="F48" s="670">
        <f t="shared" si="46"/>
        <v>2021</v>
      </c>
      <c r="G48" s="670">
        <f t="shared" si="46"/>
        <v>2022</v>
      </c>
      <c r="H48" s="670">
        <f t="shared" si="46"/>
        <v>2023</v>
      </c>
      <c r="I48" s="670">
        <f t="shared" si="46"/>
        <v>2024</v>
      </c>
      <c r="J48" s="670">
        <f t="shared" si="46"/>
        <v>2025</v>
      </c>
      <c r="K48" s="670">
        <f t="shared" si="46"/>
        <v>2026</v>
      </c>
      <c r="L48" s="670">
        <f t="shared" si="46"/>
        <v>2027</v>
      </c>
      <c r="M48" s="670">
        <f t="shared" si="46"/>
        <v>2028</v>
      </c>
      <c r="N48" s="670">
        <f t="shared" si="46"/>
        <v>2029</v>
      </c>
      <c r="O48" s="670">
        <f t="shared" si="46"/>
        <v>2030</v>
      </c>
      <c r="P48" s="670">
        <f t="shared" si="46"/>
        <v>2031</v>
      </c>
      <c r="Q48" s="670">
        <f t="shared" si="46"/>
        <v>2032</v>
      </c>
      <c r="R48" s="670">
        <f t="shared" si="46"/>
        <v>2033</v>
      </c>
      <c r="S48" s="670">
        <f t="shared" si="46"/>
        <v>2034</v>
      </c>
      <c r="T48" s="670">
        <f t="shared" si="46"/>
        <v>2035</v>
      </c>
      <c r="U48" s="670">
        <f t="shared" si="46"/>
        <v>2036</v>
      </c>
      <c r="V48" s="670">
        <f t="shared" si="46"/>
        <v>2037</v>
      </c>
      <c r="W48" s="670">
        <f t="shared" si="46"/>
        <v>2038</v>
      </c>
      <c r="X48" s="670">
        <f t="shared" si="46"/>
        <v>2039</v>
      </c>
      <c r="Y48" s="670">
        <f t="shared" si="46"/>
        <v>2040</v>
      </c>
      <c r="Z48" s="670">
        <f t="shared" si="46"/>
        <v>2041</v>
      </c>
      <c r="AA48" s="670">
        <f t="shared" si="46"/>
        <v>2042</v>
      </c>
      <c r="AB48" s="670">
        <f t="shared" si="46"/>
        <v>2043</v>
      </c>
      <c r="AC48" s="670">
        <f t="shared" si="46"/>
        <v>2044</v>
      </c>
      <c r="AD48" s="670">
        <f t="shared" si="46"/>
        <v>2045</v>
      </c>
      <c r="AE48" s="670">
        <f t="shared" si="46"/>
        <v>2046</v>
      </c>
      <c r="AF48" s="670">
        <f t="shared" si="46"/>
        <v>2047</v>
      </c>
      <c r="AG48" s="670">
        <f t="shared" si="46"/>
        <v>2048</v>
      </c>
      <c r="AH48" s="670">
        <f t="shared" si="46"/>
        <v>2049</v>
      </c>
      <c r="AI48" s="670">
        <f t="shared" si="46"/>
        <v>2050</v>
      </c>
      <c r="AJ48" s="671">
        <f t="shared" si="46"/>
        <v>2051</v>
      </c>
      <c r="AK48" s="671">
        <f t="shared" si="46"/>
        <v>2052</v>
      </c>
      <c r="AL48" s="671">
        <f t="shared" ref="AL48:AM48" si="47">AL29</f>
        <v>2053</v>
      </c>
      <c r="AM48" s="671">
        <f t="shared" si="47"/>
        <v>2054</v>
      </c>
    </row>
    <row r="49" spans="2:39" ht="15.05" customHeight="1" x14ac:dyDescent="0.25">
      <c r="B49" s="1078" t="s">
        <v>1019</v>
      </c>
      <c r="C49" s="1079"/>
      <c r="D49" s="1079"/>
      <c r="E49" s="1079"/>
      <c r="F49" s="1079"/>
      <c r="G49" s="1079"/>
      <c r="H49" s="1079"/>
      <c r="I49" s="1079"/>
      <c r="J49" s="1079"/>
      <c r="K49" s="1079"/>
      <c r="L49" s="1079"/>
      <c r="M49" s="1079"/>
      <c r="N49" s="1079"/>
      <c r="O49" s="1079"/>
      <c r="P49" s="1079"/>
      <c r="Q49" s="1079"/>
      <c r="R49" s="1079"/>
      <c r="S49" s="1079"/>
      <c r="T49" s="1079"/>
      <c r="U49" s="1079"/>
      <c r="V49" s="1079"/>
      <c r="W49" s="1079"/>
      <c r="X49" s="1079"/>
      <c r="Y49" s="1079"/>
      <c r="Z49" s="1079"/>
      <c r="AA49" s="1079"/>
      <c r="AB49" s="1079"/>
      <c r="AC49" s="1079"/>
      <c r="AD49" s="1079"/>
      <c r="AE49" s="1079"/>
      <c r="AF49" s="1079"/>
      <c r="AG49" s="1079"/>
      <c r="AH49" s="1079"/>
      <c r="AI49" s="1079"/>
      <c r="AJ49" s="1079"/>
      <c r="AK49" s="1079"/>
      <c r="AL49" s="1079"/>
      <c r="AM49" s="1080"/>
    </row>
    <row r="50" spans="2:39" ht="15.05" customHeight="1" x14ac:dyDescent="0.25">
      <c r="B50" s="1072" t="s">
        <v>994</v>
      </c>
      <c r="C50" s="1137">
        <f t="shared" ref="C50:C53" si="48">SUM(D50:AM50)</f>
        <v>38502324.367128596</v>
      </c>
      <c r="D50" s="1140">
        <f t="shared" ref="D50:AM50" si="49">D31*D$168</f>
        <v>0</v>
      </c>
      <c r="E50" s="1140">
        <f t="shared" si="49"/>
        <v>0</v>
      </c>
      <c r="F50" s="1140">
        <f t="shared" si="49"/>
        <v>0</v>
      </c>
      <c r="G50" s="1140">
        <f t="shared" si="49"/>
        <v>0</v>
      </c>
      <c r="H50" s="1140">
        <f t="shared" si="49"/>
        <v>0</v>
      </c>
      <c r="I50" s="1140">
        <f t="shared" si="49"/>
        <v>0</v>
      </c>
      <c r="J50" s="1140">
        <f t="shared" si="49"/>
        <v>2899779.2967898264</v>
      </c>
      <c r="K50" s="1140">
        <f t="shared" si="49"/>
        <v>2710074.1091493708</v>
      </c>
      <c r="L50" s="1140">
        <f t="shared" si="49"/>
        <v>2532779.5412610942</v>
      </c>
      <c r="M50" s="1140">
        <f t="shared" si="49"/>
        <v>2367083.6834215834</v>
      </c>
      <c r="N50" s="1140">
        <f t="shared" si="49"/>
        <v>2212227.7415154981</v>
      </c>
      <c r="O50" s="1140">
        <f t="shared" si="49"/>
        <v>2067502.5621640172</v>
      </c>
      <c r="P50" s="1140">
        <f t="shared" si="49"/>
        <v>1932245.385200016</v>
      </c>
      <c r="Q50" s="1140">
        <f t="shared" si="49"/>
        <v>1805836.8085981458</v>
      </c>
      <c r="R50" s="1140">
        <f t="shared" si="49"/>
        <v>1687697.9519608838</v>
      </c>
      <c r="S50" s="1140">
        <f t="shared" si="49"/>
        <v>1577287.8055709198</v>
      </c>
      <c r="T50" s="1140">
        <f t="shared" si="49"/>
        <v>1474100.7528700184</v>
      </c>
      <c r="U50" s="1140">
        <f t="shared" si="49"/>
        <v>1377664.2550187085</v>
      </c>
      <c r="V50" s="1140">
        <f t="shared" si="49"/>
        <v>1287536.6869333726</v>
      </c>
      <c r="W50" s="1140">
        <f t="shared" si="49"/>
        <v>1203305.3148910024</v>
      </c>
      <c r="X50" s="1140">
        <f t="shared" si="49"/>
        <v>1124584.4064401891</v>
      </c>
      <c r="Y50" s="1140">
        <f t="shared" si="49"/>
        <v>1051013.4639627936</v>
      </c>
      <c r="Z50" s="1140">
        <f t="shared" si="49"/>
        <v>982255.57379700337</v>
      </c>
      <c r="AA50" s="1140">
        <f t="shared" si="49"/>
        <v>917995.86336168542</v>
      </c>
      <c r="AB50" s="1140">
        <f t="shared" si="49"/>
        <v>857940.05921652832</v>
      </c>
      <c r="AC50" s="1140">
        <f t="shared" si="49"/>
        <v>801813.13945469947</v>
      </c>
      <c r="AD50" s="1140">
        <f t="shared" si="49"/>
        <v>749358.07425672829</v>
      </c>
      <c r="AE50" s="1140">
        <f t="shared" si="49"/>
        <v>700334.64883806393</v>
      </c>
      <c r="AF50" s="1140">
        <f t="shared" si="49"/>
        <v>654518.36340005975</v>
      </c>
      <c r="AG50" s="1140">
        <f t="shared" si="49"/>
        <v>611699.4050467849</v>
      </c>
      <c r="AH50" s="1140">
        <f t="shared" si="49"/>
        <v>571681.68695961183</v>
      </c>
      <c r="AI50" s="1140">
        <f t="shared" si="49"/>
        <v>534281.95042954385</v>
      </c>
      <c r="AJ50" s="1140">
        <f t="shared" si="49"/>
        <v>499328.92563508777</v>
      </c>
      <c r="AK50" s="1140">
        <f t="shared" si="49"/>
        <v>466662.54732251196</v>
      </c>
      <c r="AL50" s="1140">
        <f t="shared" si="49"/>
        <v>436133.22179674008</v>
      </c>
      <c r="AM50" s="1141">
        <f t="shared" si="49"/>
        <v>407601.14186611224</v>
      </c>
    </row>
    <row r="51" spans="2:39" ht="15.05" customHeight="1" x14ac:dyDescent="0.25">
      <c r="B51" s="1072" t="s">
        <v>1017</v>
      </c>
      <c r="C51" s="1137">
        <f t="shared" si="48"/>
        <v>252787.52626913812</v>
      </c>
      <c r="D51" s="1140">
        <f t="shared" ref="D51:AM51" si="50">D32*D$168</f>
        <v>0</v>
      </c>
      <c r="E51" s="1140">
        <f t="shared" si="50"/>
        <v>0</v>
      </c>
      <c r="F51" s="1140">
        <f t="shared" si="50"/>
        <v>0</v>
      </c>
      <c r="G51" s="1140">
        <f t="shared" si="50"/>
        <v>0</v>
      </c>
      <c r="H51" s="1140">
        <f t="shared" si="50"/>
        <v>0</v>
      </c>
      <c r="I51" s="1140">
        <f t="shared" si="50"/>
        <v>0</v>
      </c>
      <c r="J51" s="1140">
        <f t="shared" si="50"/>
        <v>19038.539807944282</v>
      </c>
      <c r="K51" s="1140">
        <f t="shared" si="50"/>
        <v>17793.027857891851</v>
      </c>
      <c r="L51" s="1140">
        <f t="shared" si="50"/>
        <v>16628.997998029768</v>
      </c>
      <c r="M51" s="1140">
        <f t="shared" si="50"/>
        <v>15541.119624326888</v>
      </c>
      <c r="N51" s="1140">
        <f t="shared" si="50"/>
        <v>14524.410863856901</v>
      </c>
      <c r="O51" s="1140">
        <f t="shared" si="50"/>
        <v>13574.21576061393</v>
      </c>
      <c r="P51" s="1140">
        <f t="shared" si="50"/>
        <v>12686.182953844793</v>
      </c>
      <c r="Q51" s="1140">
        <f t="shared" si="50"/>
        <v>11856.245751256816</v>
      </c>
      <c r="R51" s="1140">
        <f t="shared" si="50"/>
        <v>11080.60350584749</v>
      </c>
      <c r="S51" s="1140">
        <f t="shared" si="50"/>
        <v>10355.704211072423</v>
      </c>
      <c r="T51" s="1140">
        <f t="shared" si="50"/>
        <v>9678.2282346471238</v>
      </c>
      <c r="U51" s="1140">
        <f t="shared" si="50"/>
        <v>9045.0731164926383</v>
      </c>
      <c r="V51" s="1140">
        <f t="shared" si="50"/>
        <v>8453.3393612080727</v>
      </c>
      <c r="W51" s="1140">
        <f t="shared" si="50"/>
        <v>7900.3171600075457</v>
      </c>
      <c r="X51" s="1140">
        <f t="shared" si="50"/>
        <v>7383.4739813154629</v>
      </c>
      <c r="Y51" s="1140">
        <f t="shared" si="50"/>
        <v>6900.4429731920218</v>
      </c>
      <c r="Z51" s="1140">
        <f t="shared" si="50"/>
        <v>6449.0121244785241</v>
      </c>
      <c r="AA51" s="1140">
        <f t="shared" si="50"/>
        <v>6027.1141350266589</v>
      </c>
      <c r="AB51" s="1140">
        <f t="shared" si="50"/>
        <v>5632.8169486230445</v>
      </c>
      <c r="AC51" s="1140">
        <f t="shared" si="50"/>
        <v>5264.3149052551826</v>
      </c>
      <c r="AD51" s="1140">
        <f t="shared" si="50"/>
        <v>4919.9204722011045</v>
      </c>
      <c r="AE51" s="1140">
        <f t="shared" si="50"/>
        <v>4598.0565160757988</v>
      </c>
      <c r="AF51" s="1140">
        <f t="shared" si="50"/>
        <v>4297.2490804446725</v>
      </c>
      <c r="AG51" s="1140">
        <f t="shared" si="50"/>
        <v>4016.1206359296007</v>
      </c>
      <c r="AH51" s="1140">
        <f t="shared" si="50"/>
        <v>3753.3837718968216</v>
      </c>
      <c r="AI51" s="1140">
        <f t="shared" si="50"/>
        <v>3507.8353008381514</v>
      </c>
      <c r="AJ51" s="1140">
        <f t="shared" si="50"/>
        <v>3278.3507484468705</v>
      </c>
      <c r="AK51" s="1140">
        <f t="shared" si="50"/>
        <v>3063.8792041559541</v>
      </c>
      <c r="AL51" s="1140">
        <f t="shared" si="50"/>
        <v>2863.4385085569661</v>
      </c>
      <c r="AM51" s="1141">
        <f t="shared" si="50"/>
        <v>2676.1107556607162</v>
      </c>
    </row>
    <row r="52" spans="2:39" ht="15.05" customHeight="1" x14ac:dyDescent="0.25">
      <c r="B52" s="1072" t="s">
        <v>996</v>
      </c>
      <c r="C52" s="1137">
        <f t="shared" si="48"/>
        <v>97542.625409214656</v>
      </c>
      <c r="D52" s="1140">
        <f t="shared" ref="D52:AM52" si="51">D33*D$168</f>
        <v>0</v>
      </c>
      <c r="E52" s="1140">
        <f t="shared" si="51"/>
        <v>0</v>
      </c>
      <c r="F52" s="1140">
        <f t="shared" si="51"/>
        <v>0</v>
      </c>
      <c r="G52" s="1140">
        <f t="shared" si="51"/>
        <v>0</v>
      </c>
      <c r="H52" s="1140">
        <f t="shared" si="51"/>
        <v>0</v>
      </c>
      <c r="I52" s="1140">
        <f t="shared" si="51"/>
        <v>0</v>
      </c>
      <c r="J52" s="1140">
        <f t="shared" si="51"/>
        <v>7346.3638979066736</v>
      </c>
      <c r="K52" s="1140">
        <f t="shared" si="51"/>
        <v>6865.760652249227</v>
      </c>
      <c r="L52" s="1140">
        <f t="shared" si="51"/>
        <v>6416.5987404198386</v>
      </c>
      <c r="M52" s="1140">
        <f t="shared" si="51"/>
        <v>5996.8212527288215</v>
      </c>
      <c r="N52" s="1140">
        <f t="shared" si="51"/>
        <v>5604.5058436717945</v>
      </c>
      <c r="O52" s="1140">
        <f t="shared" si="51"/>
        <v>5237.8559286652298</v>
      </c>
      <c r="P52" s="1140">
        <f t="shared" si="51"/>
        <v>4895.1924566964753</v>
      </c>
      <c r="Q52" s="1140">
        <f t="shared" si="51"/>
        <v>4574.9462212116605</v>
      </c>
      <c r="R52" s="1140">
        <f t="shared" si="51"/>
        <v>4275.6506740295881</v>
      </c>
      <c r="S52" s="1140">
        <f t="shared" si="51"/>
        <v>3995.9352093734474</v>
      </c>
      <c r="T52" s="1140">
        <f t="shared" si="51"/>
        <v>3734.5188872649046</v>
      </c>
      <c r="U52" s="1140">
        <f t="shared" si="51"/>
        <v>3490.2045675372933</v>
      </c>
      <c r="V52" s="1140">
        <f t="shared" si="51"/>
        <v>3261.8734276049472</v>
      </c>
      <c r="W52" s="1140">
        <f t="shared" si="51"/>
        <v>3048.4798388831287</v>
      </c>
      <c r="X52" s="1140">
        <f t="shared" si="51"/>
        <v>2849.0465783954469</v>
      </c>
      <c r="Y52" s="1140">
        <f t="shared" si="51"/>
        <v>2662.6603536406046</v>
      </c>
      <c r="Z52" s="1140">
        <f t="shared" si="51"/>
        <v>2488.4676202248643</v>
      </c>
      <c r="AA52" s="1140">
        <f t="shared" si="51"/>
        <v>2325.6706731073496</v>
      </c>
      <c r="AB52" s="1140">
        <f t="shared" si="51"/>
        <v>2173.5239935582704</v>
      </c>
      <c r="AC52" s="1140">
        <f t="shared" si="51"/>
        <v>2031.3308351011876</v>
      </c>
      <c r="AD52" s="1140">
        <f t="shared" si="51"/>
        <v>1898.4400328048478</v>
      </c>
      <c r="AE52" s="1140">
        <f t="shared" si="51"/>
        <v>1774.2430213129421</v>
      </c>
      <c r="AF52" s="1140">
        <f t="shared" si="51"/>
        <v>1658.1710479560209</v>
      </c>
      <c r="AG52" s="1140">
        <f t="shared" si="51"/>
        <v>1549.6925681831972</v>
      </c>
      <c r="AH52" s="1140">
        <f t="shared" si="51"/>
        <v>1448.3108113861651</v>
      </c>
      <c r="AI52" s="1140">
        <f t="shared" si="51"/>
        <v>1353.5615059683787</v>
      </c>
      <c r="AJ52" s="1140">
        <f t="shared" si="51"/>
        <v>1265.0107532414754</v>
      </c>
      <c r="AK52" s="1140">
        <f t="shared" si="51"/>
        <v>1182.2530404125939</v>
      </c>
      <c r="AL52" s="1140">
        <f t="shared" si="51"/>
        <v>1104.9093835631718</v>
      </c>
      <c r="AM52" s="1141">
        <f t="shared" si="51"/>
        <v>1032.6255921151139</v>
      </c>
    </row>
    <row r="53" spans="2:39" ht="15.05" customHeight="1" x14ac:dyDescent="0.25">
      <c r="B53" s="1072" t="s">
        <v>1018</v>
      </c>
      <c r="C53" s="1137">
        <f t="shared" si="48"/>
        <v>1435292.2125408174</v>
      </c>
      <c r="D53" s="1140">
        <f t="shared" ref="D53:AM53" si="52">D34*D$168</f>
        <v>0</v>
      </c>
      <c r="E53" s="1140">
        <f t="shared" si="52"/>
        <v>0</v>
      </c>
      <c r="F53" s="1140">
        <f t="shared" si="52"/>
        <v>0</v>
      </c>
      <c r="G53" s="1140">
        <f t="shared" si="52"/>
        <v>0</v>
      </c>
      <c r="H53" s="1140">
        <f t="shared" si="52"/>
        <v>0</v>
      </c>
      <c r="I53" s="1140">
        <f t="shared" si="52"/>
        <v>0</v>
      </c>
      <c r="J53" s="1140">
        <f t="shared" si="52"/>
        <v>108098.16579081301</v>
      </c>
      <c r="K53" s="1140">
        <f t="shared" si="52"/>
        <v>101026.32316898412</v>
      </c>
      <c r="L53" s="1140">
        <f t="shared" si="52"/>
        <v>94417.124456994512</v>
      </c>
      <c r="M53" s="1140">
        <f t="shared" si="52"/>
        <v>88240.303230835983</v>
      </c>
      <c r="N53" s="1140">
        <f t="shared" si="52"/>
        <v>82467.573112930826</v>
      </c>
      <c r="O53" s="1140">
        <f t="shared" si="52"/>
        <v>77072.498236383952</v>
      </c>
      <c r="P53" s="1140">
        <f t="shared" si="52"/>
        <v>72030.372183536398</v>
      </c>
      <c r="Q53" s="1140">
        <f t="shared" si="52"/>
        <v>67318.104844426547</v>
      </c>
      <c r="R53" s="1140">
        <f t="shared" si="52"/>
        <v>62914.116677034152</v>
      </c>
      <c r="S53" s="1140">
        <f t="shared" si="52"/>
        <v>58798.239885078656</v>
      </c>
      <c r="T53" s="1140">
        <f t="shared" si="52"/>
        <v>54951.626060821174</v>
      </c>
      <c r="U53" s="1140">
        <f t="shared" si="52"/>
        <v>51356.65986992632</v>
      </c>
      <c r="V53" s="1140">
        <f t="shared" si="52"/>
        <v>47996.878383108713</v>
      </c>
      <c r="W53" s="1140">
        <f t="shared" si="52"/>
        <v>44856.895685148331</v>
      </c>
      <c r="X53" s="1140">
        <f t="shared" si="52"/>
        <v>41922.332416026482</v>
      </c>
      <c r="Y53" s="1140">
        <f t="shared" si="52"/>
        <v>39179.749921520073</v>
      </c>
      <c r="Z53" s="1140">
        <f t="shared" si="52"/>
        <v>36616.588711700999</v>
      </c>
      <c r="AA53" s="1140">
        <f t="shared" si="52"/>
        <v>34221.110945514956</v>
      </c>
      <c r="AB53" s="1140">
        <f t="shared" si="52"/>
        <v>31982.346678051355</v>
      </c>
      <c r="AC53" s="1140">
        <f t="shared" si="52"/>
        <v>29890.043624347065</v>
      </c>
      <c r="AD53" s="1140">
        <f t="shared" si="52"/>
        <v>27934.620209670149</v>
      </c>
      <c r="AE53" s="1140">
        <f t="shared" si="52"/>
        <v>26107.121691280518</v>
      </c>
      <c r="AF53" s="1140">
        <f t="shared" si="52"/>
        <v>24399.179150729455</v>
      </c>
      <c r="AG53" s="1140">
        <f t="shared" si="52"/>
        <v>22802.971168906035</v>
      </c>
      <c r="AH53" s="1140">
        <f t="shared" si="52"/>
        <v>21311.188008323392</v>
      </c>
      <c r="AI53" s="1140">
        <f t="shared" si="52"/>
        <v>19916.998138619994</v>
      </c>
      <c r="AJ53" s="1140">
        <f t="shared" si="52"/>
        <v>18614.016951981303</v>
      </c>
      <c r="AK53" s="1140">
        <f t="shared" si="52"/>
        <v>17396.277525216174</v>
      </c>
      <c r="AL53" s="1140">
        <f t="shared" si="52"/>
        <v>16258.20329459455</v>
      </c>
      <c r="AM53" s="1141">
        <f t="shared" si="52"/>
        <v>15194.582518312665</v>
      </c>
    </row>
    <row r="54" spans="2:39" ht="15.05" customHeight="1" x14ac:dyDescent="0.25">
      <c r="B54" s="1078" t="s">
        <v>369</v>
      </c>
      <c r="C54" s="1142"/>
      <c r="D54" s="1142"/>
      <c r="E54" s="1142"/>
      <c r="F54" s="1142"/>
      <c r="G54" s="1142"/>
      <c r="H54" s="1142"/>
      <c r="I54" s="1142"/>
      <c r="J54" s="1142"/>
      <c r="K54" s="1142"/>
      <c r="L54" s="1142"/>
      <c r="M54" s="1142"/>
      <c r="N54" s="1142"/>
      <c r="O54" s="1142"/>
      <c r="P54" s="1142"/>
      <c r="Q54" s="1142"/>
      <c r="R54" s="1142"/>
      <c r="S54" s="1142"/>
      <c r="T54" s="1142"/>
      <c r="U54" s="1142"/>
      <c r="V54" s="1142"/>
      <c r="W54" s="1142"/>
      <c r="X54" s="1142"/>
      <c r="Y54" s="1142"/>
      <c r="Z54" s="1142"/>
      <c r="AA54" s="1142"/>
      <c r="AB54" s="1142"/>
      <c r="AC54" s="1142"/>
      <c r="AD54" s="1142"/>
      <c r="AE54" s="1142"/>
      <c r="AF54" s="1142"/>
      <c r="AG54" s="1142"/>
      <c r="AH54" s="1142"/>
      <c r="AI54" s="1142"/>
      <c r="AJ54" s="1142"/>
      <c r="AK54" s="1142"/>
      <c r="AL54" s="1142"/>
      <c r="AM54" s="1143"/>
    </row>
    <row r="55" spans="2:39" ht="15.05" customHeight="1" x14ac:dyDescent="0.25">
      <c r="B55" s="1072" t="s">
        <v>1011</v>
      </c>
      <c r="C55" s="1137">
        <f t="shared" ref="C55:C62" si="53">SUM(D55:AM55)</f>
        <v>20380.985768460585</v>
      </c>
      <c r="D55" s="1140">
        <f t="shared" ref="D55:AM55" si="54">D36*D$168</f>
        <v>0</v>
      </c>
      <c r="E55" s="1140">
        <f t="shared" si="54"/>
        <v>0</v>
      </c>
      <c r="F55" s="1140">
        <f t="shared" si="54"/>
        <v>0</v>
      </c>
      <c r="G55" s="1140">
        <f t="shared" si="54"/>
        <v>0</v>
      </c>
      <c r="H55" s="1140">
        <f t="shared" si="54"/>
        <v>0</v>
      </c>
      <c r="I55" s="1140">
        <f t="shared" si="54"/>
        <v>0</v>
      </c>
      <c r="J55" s="1140">
        <f t="shared" si="54"/>
        <v>1534.9816290573644</v>
      </c>
      <c r="K55" s="1140">
        <f t="shared" si="54"/>
        <v>1434.5622701470697</v>
      </c>
      <c r="L55" s="1140">
        <f t="shared" si="54"/>
        <v>1340.7124020066071</v>
      </c>
      <c r="M55" s="1140">
        <f t="shared" si="54"/>
        <v>1253.0022448659879</v>
      </c>
      <c r="N55" s="1140">
        <f t="shared" si="54"/>
        <v>1171.0301353887737</v>
      </c>
      <c r="O55" s="1140">
        <f t="shared" si="54"/>
        <v>1094.4206872792279</v>
      </c>
      <c r="P55" s="1140">
        <f t="shared" si="54"/>
        <v>1022.8230722235774</v>
      </c>
      <c r="Q55" s="1140">
        <f t="shared" si="54"/>
        <v>955.90941329306304</v>
      </c>
      <c r="R55" s="1140">
        <f t="shared" si="54"/>
        <v>893.37328345146068</v>
      </c>
      <c r="S55" s="1140">
        <f t="shared" si="54"/>
        <v>834.92830229108495</v>
      </c>
      <c r="T55" s="1140">
        <f t="shared" si="54"/>
        <v>780.30682457110743</v>
      </c>
      <c r="U55" s="1140">
        <f t="shared" si="54"/>
        <v>729.25871455243669</v>
      </c>
      <c r="V55" s="1140">
        <f t="shared" si="54"/>
        <v>681.55020051629606</v>
      </c>
      <c r="W55" s="1140">
        <f t="shared" si="54"/>
        <v>636.96280422083748</v>
      </c>
      <c r="X55" s="1140">
        <f t="shared" si="54"/>
        <v>595.29234039330606</v>
      </c>
      <c r="Y55" s="1140">
        <f t="shared" si="54"/>
        <v>556.34798167598694</v>
      </c>
      <c r="Z55" s="1140">
        <f t="shared" si="54"/>
        <v>519.95138474391297</v>
      </c>
      <c r="AA55" s="1140">
        <f t="shared" si="54"/>
        <v>485.93587359244208</v>
      </c>
      <c r="AB55" s="1140">
        <f t="shared" si="54"/>
        <v>454.14567625461865</v>
      </c>
      <c r="AC55" s="1140">
        <f t="shared" si="54"/>
        <v>424.4352114529147</v>
      </c>
      <c r="AD55" s="1140">
        <f t="shared" si="54"/>
        <v>396.66842191861178</v>
      </c>
      <c r="AE55" s="1140">
        <f t="shared" si="54"/>
        <v>370.71815132580548</v>
      </c>
      <c r="AF55" s="1140">
        <f t="shared" si="54"/>
        <v>346.46556198673409</v>
      </c>
      <c r="AG55" s="1140">
        <f t="shared" si="54"/>
        <v>323.79959064180758</v>
      </c>
      <c r="AH55" s="1140">
        <f t="shared" si="54"/>
        <v>302.61643985215653</v>
      </c>
      <c r="AI55" s="1140">
        <f t="shared" si="54"/>
        <v>282.8191026655669</v>
      </c>
      <c r="AJ55" s="1140">
        <f t="shared" si="54"/>
        <v>264.31691837903446</v>
      </c>
      <c r="AK55" s="1140">
        <f t="shared" si="54"/>
        <v>247.02515736358365</v>
      </c>
      <c r="AL55" s="1140">
        <f t="shared" si="54"/>
        <v>230.86463305007814</v>
      </c>
      <c r="AM55" s="1141">
        <f t="shared" si="54"/>
        <v>215.76133929913846</v>
      </c>
    </row>
    <row r="56" spans="2:39" ht="15.05" customHeight="1" x14ac:dyDescent="0.25">
      <c r="B56" s="1072" t="s">
        <v>849</v>
      </c>
      <c r="C56" s="1137">
        <f t="shared" si="53"/>
        <v>8926.2529158647303</v>
      </c>
      <c r="D56" s="1140">
        <f t="shared" ref="D56:AM56" si="55">D37*D$168</f>
        <v>0</v>
      </c>
      <c r="E56" s="1140">
        <f t="shared" si="55"/>
        <v>0</v>
      </c>
      <c r="F56" s="1140">
        <f t="shared" si="55"/>
        <v>0</v>
      </c>
      <c r="G56" s="1140">
        <f t="shared" si="55"/>
        <v>0</v>
      </c>
      <c r="H56" s="1140">
        <f t="shared" si="55"/>
        <v>0</v>
      </c>
      <c r="I56" s="1140">
        <f t="shared" si="55"/>
        <v>0</v>
      </c>
      <c r="J56" s="1140">
        <f t="shared" si="55"/>
        <v>672.27534515897935</v>
      </c>
      <c r="K56" s="1140">
        <f t="shared" si="55"/>
        <v>628.29471510184987</v>
      </c>
      <c r="L56" s="1140">
        <f t="shared" si="55"/>
        <v>587.19132252509337</v>
      </c>
      <c r="M56" s="1140">
        <f t="shared" si="55"/>
        <v>548.77693693933952</v>
      </c>
      <c r="N56" s="1140">
        <f t="shared" si="55"/>
        <v>512.87564199938265</v>
      </c>
      <c r="O56" s="1140">
        <f t="shared" si="55"/>
        <v>479.3230299059652</v>
      </c>
      <c r="P56" s="1140">
        <f t="shared" si="55"/>
        <v>447.96544851024782</v>
      </c>
      <c r="Q56" s="1140">
        <f t="shared" si="55"/>
        <v>418.65929767312883</v>
      </c>
      <c r="R56" s="1140">
        <f t="shared" si="55"/>
        <v>391.27037165712972</v>
      </c>
      <c r="S56" s="1140">
        <f t="shared" si="55"/>
        <v>365.67324453937363</v>
      </c>
      <c r="T56" s="1140">
        <f t="shared" si="55"/>
        <v>341.75069583119034</v>
      </c>
      <c r="U56" s="1140">
        <f t="shared" si="55"/>
        <v>319.39317367400957</v>
      </c>
      <c r="V56" s="1140">
        <f t="shared" si="55"/>
        <v>298.49829315327997</v>
      </c>
      <c r="W56" s="1140">
        <f t="shared" si="55"/>
        <v>278.97036743297201</v>
      </c>
      <c r="X56" s="1140">
        <f t="shared" si="55"/>
        <v>260.71996956352524</v>
      </c>
      <c r="Y56" s="1140">
        <f t="shared" si="55"/>
        <v>243.66352295656563</v>
      </c>
      <c r="Z56" s="1140">
        <f t="shared" si="55"/>
        <v>227.72291865099589</v>
      </c>
      <c r="AA56" s="1140">
        <f t="shared" si="55"/>
        <v>212.82515761775318</v>
      </c>
      <c r="AB56" s="1140">
        <f t="shared" si="55"/>
        <v>198.90201646518986</v>
      </c>
      <c r="AC56" s="1140">
        <f t="shared" si="55"/>
        <v>185.88973501419616</v>
      </c>
      <c r="AD56" s="1140">
        <f t="shared" si="55"/>
        <v>173.72872431233282</v>
      </c>
      <c r="AE56" s="1140">
        <f t="shared" si="55"/>
        <v>162.36329374984379</v>
      </c>
      <c r="AF56" s="1140">
        <f t="shared" si="55"/>
        <v>151.7413960278914</v>
      </c>
      <c r="AG56" s="1140">
        <f t="shared" si="55"/>
        <v>141.81438881111345</v>
      </c>
      <c r="AH56" s="1140">
        <f t="shared" si="55"/>
        <v>132.53681197300318</v>
      </c>
      <c r="AI56" s="1140">
        <f t="shared" si="55"/>
        <v>123.86617941402169</v>
      </c>
      <c r="AJ56" s="1140">
        <f t="shared" si="55"/>
        <v>115.7627844990857</v>
      </c>
      <c r="AK56" s="1140">
        <f t="shared" si="55"/>
        <v>108.18951822344458</v>
      </c>
      <c r="AL56" s="1140">
        <f t="shared" si="55"/>
        <v>101.11169927424726</v>
      </c>
      <c r="AM56" s="1141">
        <f t="shared" si="55"/>
        <v>94.496915209576883</v>
      </c>
    </row>
    <row r="57" spans="2:39" ht="15.05" customHeight="1" x14ac:dyDescent="0.25">
      <c r="B57" s="1072" t="s">
        <v>814</v>
      </c>
      <c r="C57" s="1137">
        <f t="shared" si="53"/>
        <v>38.891676514756234</v>
      </c>
      <c r="D57" s="1140">
        <f t="shared" ref="D57:AM57" si="56">D38*D$168</f>
        <v>0</v>
      </c>
      <c r="E57" s="1140">
        <f t="shared" si="56"/>
        <v>0</v>
      </c>
      <c r="F57" s="1140">
        <f t="shared" si="56"/>
        <v>0</v>
      </c>
      <c r="G57" s="1140">
        <f t="shared" si="56"/>
        <v>0</v>
      </c>
      <c r="H57" s="1140">
        <f t="shared" si="56"/>
        <v>0</v>
      </c>
      <c r="I57" s="1140">
        <f t="shared" si="56"/>
        <v>0</v>
      </c>
      <c r="J57" s="1140">
        <f t="shared" si="56"/>
        <v>2.929103118543694</v>
      </c>
      <c r="K57" s="1140">
        <f t="shared" si="56"/>
        <v>2.7374795500408355</v>
      </c>
      <c r="L57" s="1140">
        <f t="shared" si="56"/>
        <v>2.5583921028419025</v>
      </c>
      <c r="M57" s="1140">
        <f t="shared" si="56"/>
        <v>2.391020656861591</v>
      </c>
      <c r="N57" s="1140">
        <f t="shared" si="56"/>
        <v>2.2345987447304587</v>
      </c>
      <c r="O57" s="1140">
        <f t="shared" si="56"/>
        <v>2.0884100418041673</v>
      </c>
      <c r="P57" s="1140">
        <f t="shared" si="56"/>
        <v>1.951785085798287</v>
      </c>
      <c r="Q57" s="1140">
        <f t="shared" si="56"/>
        <v>1.8240982110264365</v>
      </c>
      <c r="R57" s="1140">
        <f t="shared" si="56"/>
        <v>1.7047646832022769</v>
      </c>
      <c r="S57" s="1140">
        <f t="shared" si="56"/>
        <v>1.5932380216843713</v>
      </c>
      <c r="T57" s="1140">
        <f t="shared" si="56"/>
        <v>1.4890074969012816</v>
      </c>
      <c r="U57" s="1140">
        <f t="shared" si="56"/>
        <v>1.3915957914965247</v>
      </c>
      <c r="V57" s="1140">
        <f t="shared" si="56"/>
        <v>1.3005568144827333</v>
      </c>
      <c r="W57" s="1140">
        <f t="shared" si="56"/>
        <v>1.215473658395078</v>
      </c>
      <c r="X57" s="1140">
        <f t="shared" si="56"/>
        <v>1.135956690088858</v>
      </c>
      <c r="Y57" s="1140">
        <f t="shared" si="56"/>
        <v>1.061641766438185</v>
      </c>
      <c r="Z57" s="1140">
        <f t="shared" si="56"/>
        <v>0.99218856676465883</v>
      </c>
      <c r="AA57" s="1140">
        <f t="shared" si="56"/>
        <v>0.92727903435949421</v>
      </c>
      <c r="AB57" s="1140">
        <f t="shared" si="56"/>
        <v>0.86661591996214404</v>
      </c>
      <c r="AC57" s="1140">
        <f t="shared" si="56"/>
        <v>0.80992142052536831</v>
      </c>
      <c r="AD57" s="1140">
        <f t="shared" si="56"/>
        <v>0.75693590703305436</v>
      </c>
      <c r="AE57" s="1140">
        <f t="shared" si="56"/>
        <v>0.70741673554491069</v>
      </c>
      <c r="AF57" s="1140">
        <f t="shared" si="56"/>
        <v>0.66113713602328106</v>
      </c>
      <c r="AG57" s="1140">
        <f t="shared" si="56"/>
        <v>0.61788517385353381</v>
      </c>
      <c r="AH57" s="1140">
        <f t="shared" si="56"/>
        <v>0.57746277930236778</v>
      </c>
      <c r="AI57" s="1140">
        <f t="shared" si="56"/>
        <v>0.53968484046950271</v>
      </c>
      <c r="AJ57" s="1140">
        <f t="shared" si="56"/>
        <v>0.50437835557897448</v>
      </c>
      <c r="AK57" s="1140">
        <f t="shared" si="56"/>
        <v>0.47138164072801358</v>
      </c>
      <c r="AL57" s="1140">
        <f t="shared" si="56"/>
        <v>0.44054358946543321</v>
      </c>
      <c r="AM57" s="1141">
        <f t="shared" si="56"/>
        <v>0.41172298080881609</v>
      </c>
    </row>
    <row r="58" spans="2:39" ht="15.05" customHeight="1" x14ac:dyDescent="0.25">
      <c r="B58" s="1072" t="s">
        <v>850</v>
      </c>
      <c r="C58" s="1137">
        <f t="shared" si="53"/>
        <v>29310.774672542615</v>
      </c>
      <c r="D58" s="1140">
        <f t="shared" ref="D58:AM58" si="57">D39*D$168</f>
        <v>0</v>
      </c>
      <c r="E58" s="1140">
        <f t="shared" si="57"/>
        <v>0</v>
      </c>
      <c r="F58" s="1140">
        <f t="shared" si="57"/>
        <v>0</v>
      </c>
      <c r="G58" s="1140">
        <f t="shared" si="57"/>
        <v>0</v>
      </c>
      <c r="H58" s="1140">
        <f t="shared" si="57"/>
        <v>0</v>
      </c>
      <c r="I58" s="1140">
        <f t="shared" si="57"/>
        <v>0</v>
      </c>
      <c r="J58" s="1140">
        <f t="shared" si="57"/>
        <v>2207.5232850325024</v>
      </c>
      <c r="K58" s="1140">
        <f t="shared" si="57"/>
        <v>2063.1058738621518</v>
      </c>
      <c r="L58" s="1140">
        <f t="shared" si="57"/>
        <v>1928.1363307122915</v>
      </c>
      <c r="M58" s="1140">
        <f t="shared" si="57"/>
        <v>1801.9965707591509</v>
      </c>
      <c r="N58" s="1140">
        <f t="shared" si="57"/>
        <v>1684.1089446347203</v>
      </c>
      <c r="O58" s="1140">
        <f t="shared" si="57"/>
        <v>1573.9335931165613</v>
      </c>
      <c r="P58" s="1140">
        <f t="shared" si="57"/>
        <v>1470.9659748752908</v>
      </c>
      <c r="Q58" s="1140">
        <f t="shared" si="57"/>
        <v>1374.7345559582159</v>
      </c>
      <c r="R58" s="1140">
        <f t="shared" si="57"/>
        <v>1284.7986504282389</v>
      </c>
      <c r="S58" s="1140">
        <f t="shared" si="57"/>
        <v>1200.7464022693823</v>
      </c>
      <c r="T58" s="1140">
        <f t="shared" si="57"/>
        <v>1122.1928993171798</v>
      </c>
      <c r="U58" s="1140">
        <f t="shared" si="57"/>
        <v>1048.7784105768035</v>
      </c>
      <c r="V58" s="1140">
        <f t="shared" si="57"/>
        <v>980.16673885682565</v>
      </c>
      <c r="W58" s="1140">
        <f t="shared" si="57"/>
        <v>916.04368117460342</v>
      </c>
      <c r="X58" s="1140">
        <f t="shared" si="57"/>
        <v>856.11558988280694</v>
      </c>
      <c r="Y58" s="1140">
        <f t="shared" si="57"/>
        <v>800.10802792785694</v>
      </c>
      <c r="Z58" s="1140">
        <f t="shared" si="57"/>
        <v>747.76451208210926</v>
      </c>
      <c r="AA58" s="1140">
        <f t="shared" si="57"/>
        <v>698.84533839449466</v>
      </c>
      <c r="AB58" s="1140">
        <f t="shared" si="57"/>
        <v>653.12648448083598</v>
      </c>
      <c r="AC58" s="1140">
        <f t="shared" si="57"/>
        <v>610.39858362694963</v>
      </c>
      <c r="AD58" s="1140">
        <f t="shared" si="57"/>
        <v>570.46596600649491</v>
      </c>
      <c r="AE58" s="1140">
        <f t="shared" si="57"/>
        <v>533.14576262289245</v>
      </c>
      <c r="AF58" s="1140">
        <f t="shared" si="57"/>
        <v>498.2670678718622</v>
      </c>
      <c r="AG58" s="1140">
        <f t="shared" si="57"/>
        <v>465.67015688959083</v>
      </c>
      <c r="AH58" s="1140">
        <f t="shared" si="57"/>
        <v>435.20575410242122</v>
      </c>
      <c r="AI58" s="1140">
        <f t="shared" si="57"/>
        <v>406.73434962843106</v>
      </c>
      <c r="AJ58" s="1140">
        <f t="shared" si="57"/>
        <v>380.12556040040289</v>
      </c>
      <c r="AK58" s="1140">
        <f t="shared" si="57"/>
        <v>355.25753308448873</v>
      </c>
      <c r="AL58" s="1140">
        <f t="shared" si="57"/>
        <v>332.01638606026978</v>
      </c>
      <c r="AM58" s="1141">
        <f t="shared" si="57"/>
        <v>310.29568790679423</v>
      </c>
    </row>
    <row r="59" spans="2:39" ht="15.05" customHeight="1" x14ac:dyDescent="0.25">
      <c r="B59" s="667" t="s">
        <v>575</v>
      </c>
      <c r="C59" s="1137">
        <f t="shared" si="53"/>
        <v>2572111.3404104668</v>
      </c>
      <c r="D59" s="1140">
        <f t="shared" ref="D59:AM59" si="58">D40*D$168</f>
        <v>0</v>
      </c>
      <c r="E59" s="1140">
        <f t="shared" si="58"/>
        <v>0</v>
      </c>
      <c r="F59" s="1140">
        <f t="shared" si="58"/>
        <v>0</v>
      </c>
      <c r="G59" s="1140">
        <f t="shared" si="58"/>
        <v>0</v>
      </c>
      <c r="H59" s="1140">
        <f t="shared" si="58"/>
        <v>0</v>
      </c>
      <c r="I59" s="1140">
        <f t="shared" si="58"/>
        <v>0</v>
      </c>
      <c r="J59" s="1140">
        <f t="shared" si="58"/>
        <v>0</v>
      </c>
      <c r="K59" s="1140">
        <f t="shared" si="58"/>
        <v>0</v>
      </c>
      <c r="L59" s="1140">
        <f t="shared" si="58"/>
        <v>0</v>
      </c>
      <c r="M59" s="1140">
        <f t="shared" si="58"/>
        <v>0</v>
      </c>
      <c r="N59" s="1140">
        <f t="shared" si="58"/>
        <v>0</v>
      </c>
      <c r="O59" s="1140">
        <f t="shared" si="58"/>
        <v>0</v>
      </c>
      <c r="P59" s="1140">
        <f t="shared" si="58"/>
        <v>0</v>
      </c>
      <c r="Q59" s="1140">
        <f t="shared" si="58"/>
        <v>0</v>
      </c>
      <c r="R59" s="1140">
        <f t="shared" si="58"/>
        <v>0</v>
      </c>
      <c r="S59" s="1140">
        <f t="shared" si="58"/>
        <v>0</v>
      </c>
      <c r="T59" s="1140">
        <f t="shared" si="58"/>
        <v>0</v>
      </c>
      <c r="U59" s="1140">
        <f t="shared" si="58"/>
        <v>0</v>
      </c>
      <c r="V59" s="1140">
        <f t="shared" si="58"/>
        <v>0</v>
      </c>
      <c r="W59" s="1140">
        <f t="shared" si="58"/>
        <v>0</v>
      </c>
      <c r="X59" s="1140">
        <f t="shared" si="58"/>
        <v>0</v>
      </c>
      <c r="Y59" s="1140">
        <f t="shared" si="58"/>
        <v>0</v>
      </c>
      <c r="Z59" s="1140">
        <f t="shared" si="58"/>
        <v>0</v>
      </c>
      <c r="AA59" s="1140">
        <f t="shared" si="58"/>
        <v>0</v>
      </c>
      <c r="AB59" s="1140">
        <f t="shared" si="58"/>
        <v>0</v>
      </c>
      <c r="AC59" s="1140">
        <f t="shared" si="58"/>
        <v>0</v>
      </c>
      <c r="AD59" s="1140">
        <f t="shared" si="58"/>
        <v>0</v>
      </c>
      <c r="AE59" s="1140">
        <f t="shared" si="58"/>
        <v>0</v>
      </c>
      <c r="AF59" s="1140">
        <f t="shared" si="58"/>
        <v>0</v>
      </c>
      <c r="AG59" s="1140">
        <f t="shared" si="58"/>
        <v>0</v>
      </c>
      <c r="AH59" s="1140">
        <f t="shared" si="58"/>
        <v>0</v>
      </c>
      <c r="AI59" s="1140">
        <f t="shared" si="58"/>
        <v>0</v>
      </c>
      <c r="AJ59" s="1140">
        <f t="shared" si="58"/>
        <v>0</v>
      </c>
      <c r="AK59" s="1140">
        <f t="shared" si="58"/>
        <v>0</v>
      </c>
      <c r="AL59" s="1140">
        <f t="shared" si="58"/>
        <v>0</v>
      </c>
      <c r="AM59" s="1141">
        <f t="shared" si="58"/>
        <v>2572111.3404104668</v>
      </c>
    </row>
    <row r="60" spans="2:39" ht="15.05" customHeight="1" x14ac:dyDescent="0.25">
      <c r="B60" s="668" t="s">
        <v>568</v>
      </c>
      <c r="C60" s="1144">
        <f>SUM(D60:AM60)</f>
        <v>42918714.976791605</v>
      </c>
      <c r="D60" s="1144">
        <f>SUM(D50:D53,D55:D59)</f>
        <v>0</v>
      </c>
      <c r="E60" s="1144">
        <f t="shared" ref="E60" si="59">SUM(E50:E53,E55:E59)</f>
        <v>0</v>
      </c>
      <c r="F60" s="1144">
        <f t="shared" ref="F60" si="60">SUM(F50:F53,F55:F59)</f>
        <v>0</v>
      </c>
      <c r="G60" s="1144">
        <f t="shared" ref="G60" si="61">SUM(G50:G53,G55:G59)</f>
        <v>0</v>
      </c>
      <c r="H60" s="1144">
        <f t="shared" ref="H60" si="62">SUM(H50:H53,H55:H59)</f>
        <v>0</v>
      </c>
      <c r="I60" s="1144">
        <f t="shared" ref="I60" si="63">SUM(I50:I53,I55:I59)</f>
        <v>0</v>
      </c>
      <c r="J60" s="1144">
        <f t="shared" ref="J60" si="64">SUM(J50:J53,J55:J59)</f>
        <v>3038680.0756488573</v>
      </c>
      <c r="K60" s="1144">
        <f t="shared" ref="K60" si="65">SUM(K50:K53,K55:K59)</f>
        <v>2839887.9211671571</v>
      </c>
      <c r="L60" s="1144">
        <f t="shared" ref="L60" si="66">SUM(L50:L53,L55:L59)</f>
        <v>2654100.8609038852</v>
      </c>
      <c r="M60" s="1144">
        <f t="shared" ref="M60" si="67">SUM(M50:M53,M55:M59)</f>
        <v>2480468.0943026966</v>
      </c>
      <c r="N60" s="1144">
        <f t="shared" ref="N60" si="68">SUM(N50:N53,N55:N59)</f>
        <v>2318194.4806567254</v>
      </c>
      <c r="O60" s="1144">
        <f t="shared" ref="O60" si="69">SUM(O50:O53,O55:O59)</f>
        <v>2166536.8978100242</v>
      </c>
      <c r="P60" s="1144">
        <f t="shared" ref="P60" si="70">SUM(P50:P53,P55:P59)</f>
        <v>2024800.8390747884</v>
      </c>
      <c r="Q60" s="1144">
        <f t="shared" ref="Q60" si="71">SUM(Q50:Q53,Q55:Q59)</f>
        <v>1892337.2327801762</v>
      </c>
      <c r="R60" s="1144">
        <f t="shared" ref="R60" si="72">SUM(R50:R53,R55:R59)</f>
        <v>1768539.469888015</v>
      </c>
      <c r="S60" s="1144">
        <f t="shared" ref="S60" si="73">SUM(S50:S53,S55:S59)</f>
        <v>1652840.6260635662</v>
      </c>
      <c r="T60" s="1144">
        <f t="shared" ref="T60" si="74">SUM(T50:T53,T55:T59)</f>
        <v>1544710.865479968</v>
      </c>
      <c r="U60" s="1144">
        <f t="shared" ref="U60" si="75">SUM(U50:U53,U55:U59)</f>
        <v>1443655.0144672596</v>
      </c>
      <c r="V60" s="1144">
        <f t="shared" ref="V60" si="76">SUM(V50:V53,V55:V59)</f>
        <v>1349210.2938946353</v>
      </c>
      <c r="W60" s="1144">
        <f t="shared" ref="W60" si="77">SUM(W50:W53,W55:W59)</f>
        <v>1260944.1999015282</v>
      </c>
      <c r="X60" s="1144">
        <f t="shared" ref="X60" si="78">SUM(X50:X53,X55:X59)</f>
        <v>1178452.5232724561</v>
      </c>
      <c r="Y60" s="1144">
        <f t="shared" ref="Y60" si="79">SUM(Y50:Y53,Y55:Y59)</f>
        <v>1101357.4983854732</v>
      </c>
      <c r="Z60" s="1144">
        <f t="shared" ref="Z60" si="80">SUM(Z50:Z53,Z55:Z59)</f>
        <v>1029306.0732574513</v>
      </c>
      <c r="AA60" s="1144">
        <f t="shared" ref="AA60" si="81">SUM(AA50:AA53,AA55:AA59)</f>
        <v>961968.29276397359</v>
      </c>
      <c r="AB60" s="1144">
        <f t="shared" ref="AB60" si="82">SUM(AB50:AB53,AB55:AB59)</f>
        <v>899035.78762988164</v>
      </c>
      <c r="AC60" s="1144">
        <f t="shared" ref="AC60" si="83">SUM(AC50:AC53,AC55:AC59)</f>
        <v>840220.36227091751</v>
      </c>
      <c r="AD60" s="1144">
        <f t="shared" ref="AD60" si="84">SUM(AD50:AD53,AD55:AD59)</f>
        <v>785252.67501954897</v>
      </c>
      <c r="AE60" s="1144">
        <f t="shared" ref="AE60" si="85">SUM(AE50:AE53,AE55:AE59)</f>
        <v>733881.0046911675</v>
      </c>
      <c r="AF60" s="1144">
        <f t="shared" ref="AF60" si="86">SUM(AF50:AF53,AF55:AF59)</f>
        <v>685870.09784221242</v>
      </c>
      <c r="AG60" s="1144">
        <f t="shared" ref="AG60" si="87">SUM(AG50:AG53,AG55:AG59)</f>
        <v>641000.09144132026</v>
      </c>
      <c r="AH60" s="1144">
        <f t="shared" ref="AH60" si="88">SUM(AH50:AH53,AH55:AH59)</f>
        <v>599065.50601992523</v>
      </c>
      <c r="AI60" s="1144">
        <f t="shared" ref="AI60" si="89">SUM(AI50:AI53,AI55:AI59)</f>
        <v>559874.30469151866</v>
      </c>
      <c r="AJ60" s="1144">
        <f t="shared" ref="AJ60" si="90">SUM(AJ50:AJ53,AJ55:AJ59)</f>
        <v>523247.01373039157</v>
      </c>
      <c r="AK60" s="1144">
        <f t="shared" ref="AK60" si="91">SUM(AK50:AK53,AK55:AK59)</f>
        <v>489015.90068260889</v>
      </c>
      <c r="AL60" s="1144">
        <f t="shared" ref="AL60" si="92">SUM(AL50:AL53,AL55:AL59)</f>
        <v>457024.20624542888</v>
      </c>
      <c r="AM60" s="1145">
        <f t="shared" ref="AM60" si="93">SUM(AM50:AM53,AM55:AM59)</f>
        <v>2999236.7668080637</v>
      </c>
    </row>
    <row r="61" spans="2:39" ht="15.05" customHeight="1" x14ac:dyDescent="0.25">
      <c r="B61" s="667" t="s">
        <v>569</v>
      </c>
      <c r="C61" s="1137">
        <f t="shared" si="53"/>
        <v>56127817.205489762</v>
      </c>
      <c r="D61" s="1140">
        <f t="shared" ref="D61:AM61" si="94">D42*D$168</f>
        <v>0</v>
      </c>
      <c r="E61" s="1140">
        <f t="shared" si="94"/>
        <v>6444999.7515809229</v>
      </c>
      <c r="F61" s="1140">
        <f t="shared" si="94"/>
        <v>13760340.020046709</v>
      </c>
      <c r="G61" s="1140">
        <f t="shared" si="94"/>
        <v>16856498.819038562</v>
      </c>
      <c r="H61" s="1140">
        <f t="shared" si="94"/>
        <v>15126353.055118708</v>
      </c>
      <c r="I61" s="1140">
        <f t="shared" si="94"/>
        <v>3939625.5597048607</v>
      </c>
      <c r="J61" s="1140">
        <f t="shared" si="94"/>
        <v>0</v>
      </c>
      <c r="K61" s="1140">
        <f t="shared" si="94"/>
        <v>0</v>
      </c>
      <c r="L61" s="1140">
        <f t="shared" si="94"/>
        <v>0</v>
      </c>
      <c r="M61" s="1140">
        <f t="shared" si="94"/>
        <v>0</v>
      </c>
      <c r="N61" s="1140">
        <f t="shared" si="94"/>
        <v>0</v>
      </c>
      <c r="O61" s="1140">
        <f t="shared" si="94"/>
        <v>0</v>
      </c>
      <c r="P61" s="1140">
        <f t="shared" si="94"/>
        <v>0</v>
      </c>
      <c r="Q61" s="1140">
        <f t="shared" si="94"/>
        <v>0</v>
      </c>
      <c r="R61" s="1140">
        <f t="shared" si="94"/>
        <v>0</v>
      </c>
      <c r="S61" s="1140">
        <f t="shared" si="94"/>
        <v>0</v>
      </c>
      <c r="T61" s="1140">
        <f t="shared" si="94"/>
        <v>0</v>
      </c>
      <c r="U61" s="1140">
        <f t="shared" si="94"/>
        <v>0</v>
      </c>
      <c r="V61" s="1140">
        <f t="shared" si="94"/>
        <v>0</v>
      </c>
      <c r="W61" s="1140">
        <f t="shared" si="94"/>
        <v>0</v>
      </c>
      <c r="X61" s="1140">
        <f t="shared" si="94"/>
        <v>0</v>
      </c>
      <c r="Y61" s="1140">
        <f t="shared" si="94"/>
        <v>0</v>
      </c>
      <c r="Z61" s="1140">
        <f t="shared" si="94"/>
        <v>0</v>
      </c>
      <c r="AA61" s="1140">
        <f t="shared" si="94"/>
        <v>0</v>
      </c>
      <c r="AB61" s="1140">
        <f t="shared" si="94"/>
        <v>0</v>
      </c>
      <c r="AC61" s="1140">
        <f t="shared" si="94"/>
        <v>0</v>
      </c>
      <c r="AD61" s="1140">
        <f t="shared" si="94"/>
        <v>0</v>
      </c>
      <c r="AE61" s="1140">
        <f t="shared" si="94"/>
        <v>0</v>
      </c>
      <c r="AF61" s="1140">
        <f t="shared" si="94"/>
        <v>0</v>
      </c>
      <c r="AG61" s="1140">
        <f t="shared" si="94"/>
        <v>0</v>
      </c>
      <c r="AH61" s="1140">
        <f t="shared" si="94"/>
        <v>0</v>
      </c>
      <c r="AI61" s="1140">
        <f t="shared" si="94"/>
        <v>0</v>
      </c>
      <c r="AJ61" s="1140">
        <f t="shared" si="94"/>
        <v>0</v>
      </c>
      <c r="AK61" s="1140">
        <f t="shared" si="94"/>
        <v>0</v>
      </c>
      <c r="AL61" s="1140">
        <f t="shared" si="94"/>
        <v>0</v>
      </c>
      <c r="AM61" s="1141">
        <f t="shared" si="94"/>
        <v>0</v>
      </c>
    </row>
    <row r="62" spans="2:39" ht="15.05" customHeight="1" x14ac:dyDescent="0.25">
      <c r="B62" s="667" t="s">
        <v>583</v>
      </c>
      <c r="C62" s="1137">
        <f t="shared" si="53"/>
        <v>0</v>
      </c>
      <c r="D62" s="1140">
        <f t="shared" ref="D62:AM62" si="95">D43*D$168</f>
        <v>0</v>
      </c>
      <c r="E62" s="1140">
        <f t="shared" si="95"/>
        <v>0</v>
      </c>
      <c r="F62" s="1140">
        <f t="shared" si="95"/>
        <v>0</v>
      </c>
      <c r="G62" s="1140">
        <f t="shared" si="95"/>
        <v>0</v>
      </c>
      <c r="H62" s="1140">
        <f t="shared" si="95"/>
        <v>0</v>
      </c>
      <c r="I62" s="1140">
        <f t="shared" si="95"/>
        <v>0</v>
      </c>
      <c r="J62" s="1140">
        <f t="shared" si="95"/>
        <v>0</v>
      </c>
      <c r="K62" s="1140">
        <f t="shared" si="95"/>
        <v>0</v>
      </c>
      <c r="L62" s="1140">
        <f t="shared" si="95"/>
        <v>0</v>
      </c>
      <c r="M62" s="1140">
        <f t="shared" si="95"/>
        <v>0</v>
      </c>
      <c r="N62" s="1140">
        <f t="shared" si="95"/>
        <v>0</v>
      </c>
      <c r="O62" s="1140">
        <f t="shared" si="95"/>
        <v>0</v>
      </c>
      <c r="P62" s="1140">
        <f t="shared" si="95"/>
        <v>0</v>
      </c>
      <c r="Q62" s="1140">
        <f t="shared" si="95"/>
        <v>0</v>
      </c>
      <c r="R62" s="1140">
        <f t="shared" si="95"/>
        <v>0</v>
      </c>
      <c r="S62" s="1140">
        <f t="shared" si="95"/>
        <v>0</v>
      </c>
      <c r="T62" s="1140">
        <f t="shared" si="95"/>
        <v>0</v>
      </c>
      <c r="U62" s="1140">
        <f t="shared" si="95"/>
        <v>0</v>
      </c>
      <c r="V62" s="1140">
        <f t="shared" si="95"/>
        <v>0</v>
      </c>
      <c r="W62" s="1140">
        <f t="shared" si="95"/>
        <v>0</v>
      </c>
      <c r="X62" s="1140">
        <f t="shared" si="95"/>
        <v>0</v>
      </c>
      <c r="Y62" s="1140">
        <f t="shared" si="95"/>
        <v>0</v>
      </c>
      <c r="Z62" s="1140">
        <f t="shared" si="95"/>
        <v>0</v>
      </c>
      <c r="AA62" s="1140">
        <f t="shared" si="95"/>
        <v>0</v>
      </c>
      <c r="AB62" s="1140">
        <f t="shared" si="95"/>
        <v>0</v>
      </c>
      <c r="AC62" s="1140">
        <f t="shared" si="95"/>
        <v>0</v>
      </c>
      <c r="AD62" s="1140">
        <f t="shared" si="95"/>
        <v>0</v>
      </c>
      <c r="AE62" s="1140">
        <f t="shared" si="95"/>
        <v>0</v>
      </c>
      <c r="AF62" s="1140">
        <f t="shared" si="95"/>
        <v>0</v>
      </c>
      <c r="AG62" s="1140">
        <f t="shared" si="95"/>
        <v>0</v>
      </c>
      <c r="AH62" s="1140">
        <f t="shared" si="95"/>
        <v>0</v>
      </c>
      <c r="AI62" s="1140">
        <f t="shared" si="95"/>
        <v>0</v>
      </c>
      <c r="AJ62" s="1140">
        <f t="shared" si="95"/>
        <v>0</v>
      </c>
      <c r="AK62" s="1140">
        <f t="shared" si="95"/>
        <v>0</v>
      </c>
      <c r="AL62" s="1140">
        <f t="shared" si="95"/>
        <v>0</v>
      </c>
      <c r="AM62" s="1141">
        <f t="shared" si="95"/>
        <v>0</v>
      </c>
    </row>
    <row r="63" spans="2:39" ht="15.05" customHeight="1" x14ac:dyDescent="0.25">
      <c r="B63" s="668" t="s">
        <v>570</v>
      </c>
      <c r="C63" s="1144">
        <f>SUM(C61:C62)</f>
        <v>56127817.205489762</v>
      </c>
      <c r="D63" s="1144">
        <f t="shared" ref="D63:AK63" si="96">SUM(D61:D62)</f>
        <v>0</v>
      </c>
      <c r="E63" s="1144">
        <f t="shared" si="96"/>
        <v>6444999.7515809229</v>
      </c>
      <c r="F63" s="1144">
        <f t="shared" si="96"/>
        <v>13760340.020046709</v>
      </c>
      <c r="G63" s="1144">
        <f t="shared" si="96"/>
        <v>16856498.819038562</v>
      </c>
      <c r="H63" s="1144">
        <f t="shared" si="96"/>
        <v>15126353.055118708</v>
      </c>
      <c r="I63" s="1144">
        <f t="shared" si="96"/>
        <v>3939625.5597048607</v>
      </c>
      <c r="J63" s="1144">
        <f t="shared" si="96"/>
        <v>0</v>
      </c>
      <c r="K63" s="1144">
        <f t="shared" si="96"/>
        <v>0</v>
      </c>
      <c r="L63" s="1144">
        <f t="shared" si="96"/>
        <v>0</v>
      </c>
      <c r="M63" s="1144">
        <f t="shared" si="96"/>
        <v>0</v>
      </c>
      <c r="N63" s="1144">
        <f t="shared" si="96"/>
        <v>0</v>
      </c>
      <c r="O63" s="1144">
        <f t="shared" si="96"/>
        <v>0</v>
      </c>
      <c r="P63" s="1144">
        <f t="shared" si="96"/>
        <v>0</v>
      </c>
      <c r="Q63" s="1144">
        <f t="shared" si="96"/>
        <v>0</v>
      </c>
      <c r="R63" s="1144">
        <f t="shared" si="96"/>
        <v>0</v>
      </c>
      <c r="S63" s="1144">
        <f t="shared" si="96"/>
        <v>0</v>
      </c>
      <c r="T63" s="1144">
        <f t="shared" si="96"/>
        <v>0</v>
      </c>
      <c r="U63" s="1144">
        <f t="shared" si="96"/>
        <v>0</v>
      </c>
      <c r="V63" s="1144">
        <f t="shared" si="96"/>
        <v>0</v>
      </c>
      <c r="W63" s="1144">
        <f t="shared" si="96"/>
        <v>0</v>
      </c>
      <c r="X63" s="1144">
        <f t="shared" si="96"/>
        <v>0</v>
      </c>
      <c r="Y63" s="1144">
        <f t="shared" si="96"/>
        <v>0</v>
      </c>
      <c r="Z63" s="1144">
        <f t="shared" si="96"/>
        <v>0</v>
      </c>
      <c r="AA63" s="1144">
        <f t="shared" si="96"/>
        <v>0</v>
      </c>
      <c r="AB63" s="1144">
        <f t="shared" si="96"/>
        <v>0</v>
      </c>
      <c r="AC63" s="1144">
        <f t="shared" si="96"/>
        <v>0</v>
      </c>
      <c r="AD63" s="1144">
        <f t="shared" si="96"/>
        <v>0</v>
      </c>
      <c r="AE63" s="1144">
        <f t="shared" si="96"/>
        <v>0</v>
      </c>
      <c r="AF63" s="1144">
        <f t="shared" si="96"/>
        <v>0</v>
      </c>
      <c r="AG63" s="1144">
        <f t="shared" si="96"/>
        <v>0</v>
      </c>
      <c r="AH63" s="1144">
        <f t="shared" si="96"/>
        <v>0</v>
      </c>
      <c r="AI63" s="1144">
        <f t="shared" si="96"/>
        <v>0</v>
      </c>
      <c r="AJ63" s="1144">
        <f t="shared" si="96"/>
        <v>0</v>
      </c>
      <c r="AK63" s="1145">
        <f t="shared" si="96"/>
        <v>0</v>
      </c>
      <c r="AL63" s="1145">
        <f t="shared" ref="AL63:AM63" si="97">SUM(AL61:AL62)</f>
        <v>0</v>
      </c>
      <c r="AM63" s="1145">
        <f t="shared" si="97"/>
        <v>0</v>
      </c>
    </row>
    <row r="64" spans="2:39" ht="15.05" customHeight="1" x14ac:dyDescent="0.25">
      <c r="B64" s="726" t="s">
        <v>612</v>
      </c>
      <c r="C64" s="1146">
        <f>SUM(D64:AM64)</f>
        <v>-13209102.228698131</v>
      </c>
      <c r="D64" s="1146">
        <f>D60-D63</f>
        <v>0</v>
      </c>
      <c r="E64" s="1146">
        <f t="shared" ref="E64:Y64" si="98">E60-E63</f>
        <v>-6444999.7515809229</v>
      </c>
      <c r="F64" s="1146">
        <f t="shared" si="98"/>
        <v>-13760340.020046709</v>
      </c>
      <c r="G64" s="1146">
        <f t="shared" si="98"/>
        <v>-16856498.819038562</v>
      </c>
      <c r="H64" s="1146">
        <f t="shared" si="98"/>
        <v>-15126353.055118708</v>
      </c>
      <c r="I64" s="1146">
        <f t="shared" si="98"/>
        <v>-3939625.5597048607</v>
      </c>
      <c r="J64" s="1146">
        <f t="shared" si="98"/>
        <v>3038680.0756488573</v>
      </c>
      <c r="K64" s="1146">
        <f t="shared" si="98"/>
        <v>2839887.9211671571</v>
      </c>
      <c r="L64" s="1146">
        <f t="shared" si="98"/>
        <v>2654100.8609038852</v>
      </c>
      <c r="M64" s="1146">
        <f t="shared" si="98"/>
        <v>2480468.0943026966</v>
      </c>
      <c r="N64" s="1146">
        <f t="shared" si="98"/>
        <v>2318194.4806567254</v>
      </c>
      <c r="O64" s="1146">
        <f t="shared" si="98"/>
        <v>2166536.8978100242</v>
      </c>
      <c r="P64" s="1146">
        <f t="shared" si="98"/>
        <v>2024800.8390747884</v>
      </c>
      <c r="Q64" s="1146">
        <f t="shared" si="98"/>
        <v>1892337.2327801762</v>
      </c>
      <c r="R64" s="1146">
        <f t="shared" si="98"/>
        <v>1768539.469888015</v>
      </c>
      <c r="S64" s="1146">
        <f t="shared" si="98"/>
        <v>1652840.6260635662</v>
      </c>
      <c r="T64" s="1146">
        <f t="shared" si="98"/>
        <v>1544710.865479968</v>
      </c>
      <c r="U64" s="1146">
        <f t="shared" si="98"/>
        <v>1443655.0144672596</v>
      </c>
      <c r="V64" s="1146">
        <f t="shared" si="98"/>
        <v>1349210.2938946353</v>
      </c>
      <c r="W64" s="1146">
        <f t="shared" si="98"/>
        <v>1260944.1999015282</v>
      </c>
      <c r="X64" s="1146">
        <f t="shared" si="98"/>
        <v>1178452.5232724561</v>
      </c>
      <c r="Y64" s="1146">
        <f t="shared" si="98"/>
        <v>1101357.4983854732</v>
      </c>
      <c r="Z64" s="1146">
        <f>Z60-Z63</f>
        <v>1029306.0732574513</v>
      </c>
      <c r="AA64" s="1146">
        <f t="shared" ref="AA64:AK64" si="99">AA60-AA63</f>
        <v>961968.29276397359</v>
      </c>
      <c r="AB64" s="1146">
        <f t="shared" si="99"/>
        <v>899035.78762988164</v>
      </c>
      <c r="AC64" s="1146">
        <f t="shared" si="99"/>
        <v>840220.36227091751</v>
      </c>
      <c r="AD64" s="1146">
        <f t="shared" si="99"/>
        <v>785252.67501954897</v>
      </c>
      <c r="AE64" s="1146">
        <f t="shared" si="99"/>
        <v>733881.0046911675</v>
      </c>
      <c r="AF64" s="1146">
        <f t="shared" si="99"/>
        <v>685870.09784221242</v>
      </c>
      <c r="AG64" s="1146">
        <f t="shared" si="99"/>
        <v>641000.09144132026</v>
      </c>
      <c r="AH64" s="1146">
        <f t="shared" si="99"/>
        <v>599065.50601992523</v>
      </c>
      <c r="AI64" s="1146">
        <f t="shared" si="99"/>
        <v>559874.30469151866</v>
      </c>
      <c r="AJ64" s="1146">
        <f t="shared" si="99"/>
        <v>523247.01373039157</v>
      </c>
      <c r="AK64" s="1147">
        <f t="shared" si="99"/>
        <v>489015.90068260889</v>
      </c>
      <c r="AL64" s="1147">
        <f t="shared" ref="AL64:AM64" si="100">AL60-AL63</f>
        <v>457024.20624542888</v>
      </c>
      <c r="AM64" s="1147">
        <f t="shared" si="100"/>
        <v>2999236.7668080637</v>
      </c>
    </row>
    <row r="65" spans="2:39" ht="15.05" customHeight="1" x14ac:dyDescent="0.25">
      <c r="B65" s="727" t="s">
        <v>613</v>
      </c>
      <c r="C65" s="1148"/>
      <c r="D65" s="1148">
        <f>D64</f>
        <v>0</v>
      </c>
      <c r="E65" s="1148">
        <f>D65+E64</f>
        <v>-6444999.7515809229</v>
      </c>
      <c r="F65" s="1148">
        <f>E65+F64</f>
        <v>-20205339.771627631</v>
      </c>
      <c r="G65" s="1148">
        <f>F65+G64</f>
        <v>-37061838.59066619</v>
      </c>
      <c r="H65" s="1148">
        <f t="shared" ref="H65" si="101">G65+H64</f>
        <v>-52188191.6457849</v>
      </c>
      <c r="I65" s="1148">
        <f t="shared" ref="I65" si="102">H65+I64</f>
        <v>-56127817.205489762</v>
      </c>
      <c r="J65" s="1148">
        <f t="shared" ref="J65" si="103">I65+J64</f>
        <v>-53089137.129840903</v>
      </c>
      <c r="K65" s="1148">
        <f t="shared" ref="K65" si="104">J65+K64</f>
        <v>-50249249.208673745</v>
      </c>
      <c r="L65" s="1148">
        <f t="shared" ref="L65" si="105">K65+L64</f>
        <v>-47595148.347769856</v>
      </c>
      <c r="M65" s="1148">
        <f t="shared" ref="M65" si="106">L65+M64</f>
        <v>-45114680.253467157</v>
      </c>
      <c r="N65" s="1148">
        <f t="shared" ref="N65" si="107">M65+N64</f>
        <v>-42796485.772810429</v>
      </c>
      <c r="O65" s="1148">
        <f t="shared" ref="O65" si="108">N65+O64</f>
        <v>-40629948.875000402</v>
      </c>
      <c r="P65" s="1148">
        <f t="shared" ref="P65" si="109">O65+P64</f>
        <v>-38605148.035925612</v>
      </c>
      <c r="Q65" s="1148">
        <f t="shared" ref="Q65" si="110">P65+Q64</f>
        <v>-36712810.803145438</v>
      </c>
      <c r="R65" s="1148">
        <f t="shared" ref="R65" si="111">Q65+R64</f>
        <v>-34944271.333257422</v>
      </c>
      <c r="S65" s="1148">
        <f t="shared" ref="S65" si="112">R65+S64</f>
        <v>-33291430.707193855</v>
      </c>
      <c r="T65" s="1148">
        <f t="shared" ref="T65" si="113">S65+T64</f>
        <v>-31746719.841713887</v>
      </c>
      <c r="U65" s="1148">
        <f t="shared" ref="U65" si="114">T65+U64</f>
        <v>-30303064.827246629</v>
      </c>
      <c r="V65" s="1148">
        <f t="shared" ref="V65" si="115">U65+V64</f>
        <v>-28953854.533351995</v>
      </c>
      <c r="W65" s="1148">
        <f t="shared" ref="W65" si="116">V65+W64</f>
        <v>-27692910.333450466</v>
      </c>
      <c r="X65" s="1148">
        <f t="shared" ref="X65" si="117">W65+X64</f>
        <v>-26514457.810178012</v>
      </c>
      <c r="Y65" s="1148">
        <f t="shared" ref="Y65" si="118">X65+Y64</f>
        <v>-25413100.311792538</v>
      </c>
      <c r="Z65" s="1148">
        <f>Y65+Z64</f>
        <v>-24383794.238535088</v>
      </c>
      <c r="AA65" s="1148">
        <f>Z65+AA64</f>
        <v>-23421825.945771113</v>
      </c>
      <c r="AB65" s="1148">
        <f t="shared" ref="AB65" si="119">AA65+AB64</f>
        <v>-22522790.158141233</v>
      </c>
      <c r="AC65" s="1148">
        <f t="shared" ref="AC65" si="120">AB65+AC64</f>
        <v>-21682569.795870315</v>
      </c>
      <c r="AD65" s="1148">
        <f t="shared" ref="AD65" si="121">AC65+AD64</f>
        <v>-20897317.120850768</v>
      </c>
      <c r="AE65" s="1148">
        <f t="shared" ref="AE65" si="122">AD65+AE64</f>
        <v>-20163436.116159599</v>
      </c>
      <c r="AF65" s="1148">
        <f t="shared" ref="AF65" si="123">AE65+AF64</f>
        <v>-19477566.018317387</v>
      </c>
      <c r="AG65" s="1148">
        <f t="shared" ref="AG65" si="124">AF65+AG64</f>
        <v>-18836565.926876068</v>
      </c>
      <c r="AH65" s="1148">
        <f t="shared" ref="AH65" si="125">AG65+AH64</f>
        <v>-18237500.420856144</v>
      </c>
      <c r="AI65" s="1148">
        <f t="shared" ref="AI65" si="126">AH65+AI64</f>
        <v>-17677626.116164625</v>
      </c>
      <c r="AJ65" s="1148">
        <f t="shared" ref="AJ65" si="127">AI65+AJ64</f>
        <v>-17154379.102434233</v>
      </c>
      <c r="AK65" s="1149">
        <f t="shared" ref="AK65" si="128">AJ65+AK64</f>
        <v>-16665363.201751623</v>
      </c>
      <c r="AL65" s="1149">
        <f t="shared" ref="AL65" si="129">AK65+AL64</f>
        <v>-16208338.995506193</v>
      </c>
      <c r="AM65" s="1149">
        <f t="shared" ref="AM65" si="130">AL65+AM64</f>
        <v>-13209102.228698131</v>
      </c>
    </row>
    <row r="66" spans="2:39" s="657" customFormat="1" ht="15.05" customHeight="1" x14ac:dyDescent="0.25">
      <c r="B66" s="935"/>
      <c r="C66" s="939"/>
      <c r="D66" s="939"/>
      <c r="E66" s="939"/>
      <c r="F66" s="939"/>
      <c r="G66" s="939"/>
      <c r="H66" s="939"/>
      <c r="I66" s="939"/>
      <c r="J66" s="939"/>
      <c r="K66" s="939"/>
      <c r="L66" s="939"/>
      <c r="M66" s="939"/>
      <c r="N66" s="939"/>
      <c r="O66" s="939"/>
      <c r="P66" s="939"/>
      <c r="Q66" s="939"/>
      <c r="R66" s="939"/>
      <c r="S66" s="939"/>
      <c r="T66" s="939"/>
      <c r="U66" s="939"/>
      <c r="V66" s="939"/>
      <c r="W66" s="939"/>
      <c r="X66" s="939"/>
      <c r="Y66" s="939"/>
      <c r="Z66" s="939"/>
      <c r="AA66" s="939"/>
      <c r="AB66" s="939"/>
      <c r="AC66" s="939"/>
      <c r="AD66" s="939"/>
      <c r="AE66" s="939"/>
      <c r="AF66" s="939"/>
      <c r="AG66" s="939"/>
      <c r="AH66" s="939"/>
      <c r="AI66" s="939"/>
      <c r="AJ66" s="939"/>
      <c r="AK66" s="939"/>
      <c r="AL66" s="939"/>
      <c r="AM66" s="939"/>
    </row>
    <row r="67" spans="2:39" ht="15.05" customHeight="1" x14ac:dyDescent="0.25">
      <c r="B67" s="725" t="s">
        <v>1071</v>
      </c>
      <c r="C67" s="670" t="s">
        <v>393</v>
      </c>
      <c r="D67" s="670">
        <f t="shared" ref="D67:AM67" si="131">D48</f>
        <v>2019</v>
      </c>
      <c r="E67" s="670">
        <f t="shared" si="131"/>
        <v>2020</v>
      </c>
      <c r="F67" s="670">
        <f t="shared" si="131"/>
        <v>2021</v>
      </c>
      <c r="G67" s="670">
        <f t="shared" si="131"/>
        <v>2022</v>
      </c>
      <c r="H67" s="670">
        <f t="shared" si="131"/>
        <v>2023</v>
      </c>
      <c r="I67" s="670">
        <f t="shared" si="131"/>
        <v>2024</v>
      </c>
      <c r="J67" s="670">
        <f t="shared" si="131"/>
        <v>2025</v>
      </c>
      <c r="K67" s="670">
        <f t="shared" si="131"/>
        <v>2026</v>
      </c>
      <c r="L67" s="670">
        <f t="shared" si="131"/>
        <v>2027</v>
      </c>
      <c r="M67" s="670">
        <f t="shared" si="131"/>
        <v>2028</v>
      </c>
      <c r="N67" s="670">
        <f t="shared" si="131"/>
        <v>2029</v>
      </c>
      <c r="O67" s="670">
        <f t="shared" si="131"/>
        <v>2030</v>
      </c>
      <c r="P67" s="670">
        <f t="shared" si="131"/>
        <v>2031</v>
      </c>
      <c r="Q67" s="670">
        <f t="shared" si="131"/>
        <v>2032</v>
      </c>
      <c r="R67" s="670">
        <f t="shared" si="131"/>
        <v>2033</v>
      </c>
      <c r="S67" s="670">
        <f t="shared" si="131"/>
        <v>2034</v>
      </c>
      <c r="T67" s="670">
        <f t="shared" si="131"/>
        <v>2035</v>
      </c>
      <c r="U67" s="670">
        <f t="shared" si="131"/>
        <v>2036</v>
      </c>
      <c r="V67" s="670">
        <f t="shared" si="131"/>
        <v>2037</v>
      </c>
      <c r="W67" s="670">
        <f t="shared" si="131"/>
        <v>2038</v>
      </c>
      <c r="X67" s="670">
        <f t="shared" si="131"/>
        <v>2039</v>
      </c>
      <c r="Y67" s="670">
        <f t="shared" si="131"/>
        <v>2040</v>
      </c>
      <c r="Z67" s="670">
        <f t="shared" si="131"/>
        <v>2041</v>
      </c>
      <c r="AA67" s="670">
        <f t="shared" si="131"/>
        <v>2042</v>
      </c>
      <c r="AB67" s="670">
        <f t="shared" si="131"/>
        <v>2043</v>
      </c>
      <c r="AC67" s="670">
        <f t="shared" si="131"/>
        <v>2044</v>
      </c>
      <c r="AD67" s="670">
        <f t="shared" si="131"/>
        <v>2045</v>
      </c>
      <c r="AE67" s="670">
        <f t="shared" si="131"/>
        <v>2046</v>
      </c>
      <c r="AF67" s="670">
        <f t="shared" si="131"/>
        <v>2047</v>
      </c>
      <c r="AG67" s="670">
        <f t="shared" si="131"/>
        <v>2048</v>
      </c>
      <c r="AH67" s="670">
        <f t="shared" si="131"/>
        <v>2049</v>
      </c>
      <c r="AI67" s="670">
        <f t="shared" si="131"/>
        <v>2050</v>
      </c>
      <c r="AJ67" s="671">
        <f t="shared" si="131"/>
        <v>2051</v>
      </c>
      <c r="AK67" s="671">
        <f t="shared" si="131"/>
        <v>2052</v>
      </c>
      <c r="AL67" s="671">
        <f t="shared" si="131"/>
        <v>2053</v>
      </c>
      <c r="AM67" s="671">
        <f t="shared" si="131"/>
        <v>2054</v>
      </c>
    </row>
    <row r="68" spans="2:39" ht="15.05" customHeight="1" x14ac:dyDescent="0.25">
      <c r="B68" s="1078" t="s">
        <v>1019</v>
      </c>
      <c r="C68" s="1079"/>
      <c r="D68" s="1079"/>
      <c r="E68" s="1079"/>
      <c r="F68" s="1079"/>
      <c r="G68" s="1079"/>
      <c r="H68" s="1079"/>
      <c r="I68" s="1079"/>
      <c r="J68" s="1079"/>
      <c r="K68" s="1079"/>
      <c r="L68" s="1079"/>
      <c r="M68" s="1079"/>
      <c r="N68" s="1079"/>
      <c r="O68" s="1079"/>
      <c r="P68" s="1079"/>
      <c r="Q68" s="1079"/>
      <c r="R68" s="1079"/>
      <c r="S68" s="1079"/>
      <c r="T68" s="1079"/>
      <c r="U68" s="1079"/>
      <c r="V68" s="1079"/>
      <c r="W68" s="1079"/>
      <c r="X68" s="1079"/>
      <c r="Y68" s="1079"/>
      <c r="Z68" s="1079"/>
      <c r="AA68" s="1079"/>
      <c r="AB68" s="1079"/>
      <c r="AC68" s="1079"/>
      <c r="AD68" s="1079"/>
      <c r="AE68" s="1079"/>
      <c r="AF68" s="1079"/>
      <c r="AG68" s="1079"/>
      <c r="AH68" s="1079"/>
      <c r="AI68" s="1079"/>
      <c r="AJ68" s="1079"/>
      <c r="AK68" s="1079"/>
      <c r="AL68" s="1079"/>
      <c r="AM68" s="1080"/>
    </row>
    <row r="69" spans="2:39" ht="15.05" customHeight="1" x14ac:dyDescent="0.25">
      <c r="B69" s="1072" t="s">
        <v>994</v>
      </c>
      <c r="C69" s="1137">
        <f t="shared" ref="C69:C72" si="132">SUM(D69:AM69)</f>
        <v>76435285.314698696</v>
      </c>
      <c r="D69" s="1140">
        <f t="shared" ref="D69:AM69" si="133">D31*D$169</f>
        <v>0</v>
      </c>
      <c r="E69" s="1140">
        <f t="shared" si="133"/>
        <v>0</v>
      </c>
      <c r="F69" s="1140">
        <f t="shared" si="133"/>
        <v>0</v>
      </c>
      <c r="G69" s="1140">
        <f t="shared" si="133"/>
        <v>0</v>
      </c>
      <c r="H69" s="1140">
        <f t="shared" si="133"/>
        <v>0</v>
      </c>
      <c r="I69" s="1140">
        <f t="shared" si="133"/>
        <v>0</v>
      </c>
      <c r="J69" s="1140">
        <f t="shared" si="133"/>
        <v>3786088.9734835988</v>
      </c>
      <c r="K69" s="1140">
        <f t="shared" si="133"/>
        <v>3675814.5373627176</v>
      </c>
      <c r="L69" s="1140">
        <f t="shared" si="133"/>
        <v>3568751.9780220562</v>
      </c>
      <c r="M69" s="1140">
        <f t="shared" si="133"/>
        <v>3464807.7456524814</v>
      </c>
      <c r="N69" s="1140">
        <f t="shared" si="133"/>
        <v>3363891.0151965842</v>
      </c>
      <c r="O69" s="1140">
        <f t="shared" si="133"/>
        <v>3265913.6069869753</v>
      </c>
      <c r="P69" s="1140">
        <f t="shared" si="133"/>
        <v>3170789.9096960928</v>
      </c>
      <c r="Q69" s="1140">
        <f t="shared" si="133"/>
        <v>3078436.8055301867</v>
      </c>
      <c r="R69" s="1140">
        <f t="shared" si="133"/>
        <v>2988773.5976021225</v>
      </c>
      <c r="S69" s="1140">
        <f t="shared" si="133"/>
        <v>2901721.9394195369</v>
      </c>
      <c r="T69" s="1140">
        <f t="shared" si="133"/>
        <v>2817205.7664267351</v>
      </c>
      <c r="U69" s="1140">
        <f t="shared" si="133"/>
        <v>2735151.2295405194</v>
      </c>
      <c r="V69" s="1140">
        <f t="shared" si="133"/>
        <v>2655486.6306218635</v>
      </c>
      <c r="W69" s="1140">
        <f t="shared" si="133"/>
        <v>2578142.3598270523</v>
      </c>
      <c r="X69" s="1140">
        <f t="shared" si="133"/>
        <v>2503050.8347835457</v>
      </c>
      <c r="Y69" s="1140">
        <f t="shared" si="133"/>
        <v>2430146.4415374231</v>
      </c>
      <c r="Z69" s="1140">
        <f t="shared" si="133"/>
        <v>2359365.4772207993</v>
      </c>
      <c r="AA69" s="1140">
        <f t="shared" si="133"/>
        <v>2290646.0943891257</v>
      </c>
      <c r="AB69" s="1140">
        <f t="shared" si="133"/>
        <v>2223928.2469797335</v>
      </c>
      <c r="AC69" s="1140">
        <f t="shared" si="133"/>
        <v>2159153.6378444014</v>
      </c>
      <c r="AD69" s="1140">
        <f t="shared" si="133"/>
        <v>2096265.6678100985</v>
      </c>
      <c r="AE69" s="1140">
        <f t="shared" si="133"/>
        <v>2035209.3862233968</v>
      </c>
      <c r="AF69" s="1140">
        <f t="shared" si="133"/>
        <v>1975931.4429353368</v>
      </c>
      <c r="AG69" s="1140">
        <f t="shared" si="133"/>
        <v>1918380.0416847931</v>
      </c>
      <c r="AH69" s="1140">
        <f t="shared" si="133"/>
        <v>1862504.8948396044</v>
      </c>
      <c r="AI69" s="1140">
        <f t="shared" si="133"/>
        <v>1808257.1794559269</v>
      </c>
      <c r="AJ69" s="1140">
        <f t="shared" si="133"/>
        <v>1755589.4946174049</v>
      </c>
      <c r="AK69" s="1140">
        <f t="shared" si="133"/>
        <v>1704455.8200168982</v>
      </c>
      <c r="AL69" s="1140">
        <f t="shared" si="133"/>
        <v>1654811.4757445611</v>
      </c>
      <c r="AM69" s="1141">
        <f t="shared" si="133"/>
        <v>1606613.0832471466</v>
      </c>
    </row>
    <row r="70" spans="2:39" ht="15.05" customHeight="1" x14ac:dyDescent="0.25">
      <c r="B70" s="1072" t="s">
        <v>1017</v>
      </c>
      <c r="C70" s="1137">
        <f t="shared" si="132"/>
        <v>501836.88938204857</v>
      </c>
      <c r="D70" s="1140">
        <f t="shared" ref="D70:AM70" si="134">D32*D$169</f>
        <v>0</v>
      </c>
      <c r="E70" s="1140">
        <f t="shared" si="134"/>
        <v>0</v>
      </c>
      <c r="F70" s="1140">
        <f t="shared" si="134"/>
        <v>0</v>
      </c>
      <c r="G70" s="1140">
        <f t="shared" si="134"/>
        <v>0</v>
      </c>
      <c r="H70" s="1140">
        <f t="shared" si="134"/>
        <v>0</v>
      </c>
      <c r="I70" s="1140">
        <f t="shared" si="134"/>
        <v>0</v>
      </c>
      <c r="J70" s="1140">
        <f t="shared" si="134"/>
        <v>24857.617860050133</v>
      </c>
      <c r="K70" s="1140">
        <f t="shared" si="134"/>
        <v>24133.609572864207</v>
      </c>
      <c r="L70" s="1140">
        <f t="shared" si="134"/>
        <v>23430.688905693405</v>
      </c>
      <c r="M70" s="1140">
        <f t="shared" si="134"/>
        <v>22748.241656013015</v>
      </c>
      <c r="N70" s="1140">
        <f t="shared" si="134"/>
        <v>22085.671510692246</v>
      </c>
      <c r="O70" s="1140">
        <f t="shared" si="134"/>
        <v>21442.399524943932</v>
      </c>
      <c r="P70" s="1140">
        <f t="shared" si="134"/>
        <v>20817.863616450421</v>
      </c>
      <c r="Q70" s="1140">
        <f t="shared" si="134"/>
        <v>20211.518074223706</v>
      </c>
      <c r="R70" s="1140">
        <f t="shared" si="134"/>
        <v>19622.833081770586</v>
      </c>
      <c r="S70" s="1140">
        <f t="shared" si="134"/>
        <v>19051.294254146203</v>
      </c>
      <c r="T70" s="1140">
        <f t="shared" si="134"/>
        <v>18496.402188491462</v>
      </c>
      <c r="U70" s="1140">
        <f t="shared" si="134"/>
        <v>17957.672027661611</v>
      </c>
      <c r="V70" s="1140">
        <f t="shared" si="134"/>
        <v>17434.633036564672</v>
      </c>
      <c r="W70" s="1140">
        <f t="shared" si="134"/>
        <v>16926.828190839489</v>
      </c>
      <c r="X70" s="1140">
        <f t="shared" si="134"/>
        <v>16433.813777514068</v>
      </c>
      <c r="Y70" s="1140">
        <f t="shared" si="134"/>
        <v>15955.159007295211</v>
      </c>
      <c r="Z70" s="1140">
        <f t="shared" si="134"/>
        <v>15490.44563815069</v>
      </c>
      <c r="AA70" s="1140">
        <f t="shared" si="134"/>
        <v>15039.26760985504</v>
      </c>
      <c r="AB70" s="1140">
        <f t="shared" si="134"/>
        <v>14601.230689179651</v>
      </c>
      <c r="AC70" s="1140">
        <f t="shared" si="134"/>
        <v>14175.952125417136</v>
      </c>
      <c r="AD70" s="1140">
        <f t="shared" si="134"/>
        <v>13763.060315938967</v>
      </c>
      <c r="AE70" s="1140">
        <f t="shared" si="134"/>
        <v>13362.194481494143</v>
      </c>
      <c r="AF70" s="1140">
        <f t="shared" si="134"/>
        <v>12973.00435096519</v>
      </c>
      <c r="AG70" s="1140">
        <f t="shared" si="134"/>
        <v>12595.149855306008</v>
      </c>
      <c r="AH70" s="1140">
        <f t="shared" si="134"/>
        <v>12228.300830394181</v>
      </c>
      <c r="AI70" s="1140">
        <f t="shared" si="134"/>
        <v>11872.136728538042</v>
      </c>
      <c r="AJ70" s="1140">
        <f t="shared" si="134"/>
        <v>11526.346338386447</v>
      </c>
      <c r="AK70" s="1140">
        <f t="shared" si="134"/>
        <v>11190.627512996554</v>
      </c>
      <c r="AL70" s="1140">
        <f t="shared" si="134"/>
        <v>10864.686905821894</v>
      </c>
      <c r="AM70" s="1141">
        <f t="shared" si="134"/>
        <v>10548.239714390189</v>
      </c>
    </row>
    <row r="71" spans="2:39" ht="15.05" customHeight="1" x14ac:dyDescent="0.25">
      <c r="B71" s="1072" t="s">
        <v>996</v>
      </c>
      <c r="C71" s="1137">
        <f t="shared" si="132"/>
        <v>193642.81315606527</v>
      </c>
      <c r="D71" s="1140">
        <f t="shared" ref="D71:AM71" si="135">D33*D$169</f>
        <v>0</v>
      </c>
      <c r="E71" s="1140">
        <f t="shared" si="135"/>
        <v>0</v>
      </c>
      <c r="F71" s="1140">
        <f t="shared" si="135"/>
        <v>0</v>
      </c>
      <c r="G71" s="1140">
        <f t="shared" si="135"/>
        <v>0</v>
      </c>
      <c r="H71" s="1140">
        <f t="shared" si="135"/>
        <v>0</v>
      </c>
      <c r="I71" s="1140">
        <f t="shared" si="135"/>
        <v>0</v>
      </c>
      <c r="J71" s="1140">
        <f t="shared" si="135"/>
        <v>9591.7600970024378</v>
      </c>
      <c r="K71" s="1140">
        <f t="shared" si="135"/>
        <v>9312.3884436916869</v>
      </c>
      <c r="L71" s="1140">
        <f t="shared" si="135"/>
        <v>9041.1538288268821</v>
      </c>
      <c r="M71" s="1140">
        <f t="shared" si="135"/>
        <v>8777.8192512882342</v>
      </c>
      <c r="N71" s="1140">
        <f t="shared" si="135"/>
        <v>8522.1546129011986</v>
      </c>
      <c r="O71" s="1140">
        <f t="shared" si="135"/>
        <v>8273.9365173798051</v>
      </c>
      <c r="P71" s="1140">
        <f t="shared" si="135"/>
        <v>8032.9480751260253</v>
      </c>
      <c r="Q71" s="1140">
        <f t="shared" si="135"/>
        <v>7798.9787137145859</v>
      </c>
      <c r="R71" s="1140">
        <f t="shared" si="135"/>
        <v>7571.8239938976558</v>
      </c>
      <c r="S71" s="1140">
        <f t="shared" si="135"/>
        <v>7351.285430968599</v>
      </c>
      <c r="T71" s="1140">
        <f t="shared" si="135"/>
        <v>7137.1703213287374</v>
      </c>
      <c r="U71" s="1140">
        <f t="shared" si="135"/>
        <v>6929.2915741055695</v>
      </c>
      <c r="V71" s="1140">
        <f t="shared" si="135"/>
        <v>6727.4675476753109</v>
      </c>
      <c r="W71" s="1140">
        <f t="shared" si="135"/>
        <v>6531.521890946904</v>
      </c>
      <c r="X71" s="1140">
        <f t="shared" si="135"/>
        <v>6341.2833892688395</v>
      </c>
      <c r="Y71" s="1140">
        <f t="shared" si="135"/>
        <v>6156.5858148241159</v>
      </c>
      <c r="Z71" s="1140">
        <f t="shared" si="135"/>
        <v>5977.2677813826367</v>
      </c>
      <c r="AA71" s="1140">
        <f t="shared" si="135"/>
        <v>5803.1726032841134</v>
      </c>
      <c r="AB71" s="1140">
        <f t="shared" si="135"/>
        <v>5634.1481585282654</v>
      </c>
      <c r="AC71" s="1140">
        <f t="shared" si="135"/>
        <v>5470.0467558526843</v>
      </c>
      <c r="AD71" s="1140">
        <f t="shared" si="135"/>
        <v>5310.7250056822186</v>
      </c>
      <c r="AE71" s="1140">
        <f t="shared" si="135"/>
        <v>5156.0436948371052</v>
      </c>
      <c r="AF71" s="1140">
        <f t="shared" si="135"/>
        <v>5005.8676648903938</v>
      </c>
      <c r="AG71" s="1140">
        <f t="shared" si="135"/>
        <v>4860.0656940683439</v>
      </c>
      <c r="AH71" s="1140">
        <f t="shared" si="135"/>
        <v>4718.5103825906244</v>
      </c>
      <c r="AI71" s="1140">
        <f t="shared" si="135"/>
        <v>4581.0780413501216</v>
      </c>
      <c r="AJ71" s="1140">
        <f t="shared" si="135"/>
        <v>4447.6485838350691</v>
      </c>
      <c r="AK71" s="1140">
        <f t="shared" si="135"/>
        <v>4318.1054211990968</v>
      </c>
      <c r="AL71" s="1140">
        <f t="shared" si="135"/>
        <v>4192.3353603874721</v>
      </c>
      <c r="AM71" s="1141">
        <f t="shared" si="135"/>
        <v>4070.2285052305551</v>
      </c>
    </row>
    <row r="72" spans="2:39" ht="15.05" customHeight="1" x14ac:dyDescent="0.25">
      <c r="B72" s="1072" t="s">
        <v>1018</v>
      </c>
      <c r="C72" s="1137">
        <f t="shared" si="132"/>
        <v>2849359.657599919</v>
      </c>
      <c r="D72" s="1140">
        <f t="shared" ref="D72:AM72" si="136">D34*D$169</f>
        <v>0</v>
      </c>
      <c r="E72" s="1140">
        <f t="shared" si="136"/>
        <v>0</v>
      </c>
      <c r="F72" s="1140">
        <f t="shared" si="136"/>
        <v>0</v>
      </c>
      <c r="G72" s="1140">
        <f t="shared" si="136"/>
        <v>0</v>
      </c>
      <c r="H72" s="1140">
        <f t="shared" si="136"/>
        <v>0</v>
      </c>
      <c r="I72" s="1140">
        <f t="shared" si="136"/>
        <v>0</v>
      </c>
      <c r="J72" s="1140">
        <f t="shared" si="136"/>
        <v>141138.07695898679</v>
      </c>
      <c r="K72" s="1140">
        <f t="shared" si="136"/>
        <v>137027.25918348233</v>
      </c>
      <c r="L72" s="1140">
        <f t="shared" si="136"/>
        <v>133036.17396454595</v>
      </c>
      <c r="M72" s="1140">
        <f t="shared" si="136"/>
        <v>129161.3339461611</v>
      </c>
      <c r="N72" s="1140">
        <f t="shared" si="136"/>
        <v>125399.35334578749</v>
      </c>
      <c r="O72" s="1140">
        <f t="shared" si="136"/>
        <v>121746.94499591021</v>
      </c>
      <c r="P72" s="1140">
        <f t="shared" si="136"/>
        <v>118200.91747175748</v>
      </c>
      <c r="Q72" s="1140">
        <f t="shared" si="136"/>
        <v>114758.17230267715</v>
      </c>
      <c r="R72" s="1140">
        <f t="shared" si="136"/>
        <v>111415.70126473508</v>
      </c>
      <c r="S72" s="1140">
        <f t="shared" si="136"/>
        <v>108170.58375217</v>
      </c>
      <c r="T72" s="1140">
        <f t="shared" si="136"/>
        <v>105019.98422540777</v>
      </c>
      <c r="U72" s="1140">
        <f t="shared" si="136"/>
        <v>101961.1497334056</v>
      </c>
      <c r="V72" s="1140">
        <f t="shared" si="136"/>
        <v>98991.407508160788</v>
      </c>
      <c r="W72" s="1140">
        <f t="shared" si="136"/>
        <v>96108.16262928232</v>
      </c>
      <c r="X72" s="1140">
        <f t="shared" si="136"/>
        <v>93308.895756584781</v>
      </c>
      <c r="Y72" s="1140">
        <f t="shared" si="136"/>
        <v>90591.160928723082</v>
      </c>
      <c r="Z72" s="1140">
        <f t="shared" si="136"/>
        <v>87952.583425944744</v>
      </c>
      <c r="AA72" s="1140">
        <f t="shared" si="136"/>
        <v>85390.857695091981</v>
      </c>
      <c r="AB72" s="1140">
        <f t="shared" si="136"/>
        <v>82903.74533504076</v>
      </c>
      <c r="AC72" s="1140">
        <f t="shared" si="136"/>
        <v>80489.073140816268</v>
      </c>
      <c r="AD72" s="1140">
        <f t="shared" si="136"/>
        <v>78144.731204676005</v>
      </c>
      <c r="AE72" s="1140">
        <f t="shared" si="136"/>
        <v>75868.671072500976</v>
      </c>
      <c r="AF72" s="1140">
        <f t="shared" si="136"/>
        <v>73658.903953884437</v>
      </c>
      <c r="AG72" s="1140">
        <f t="shared" si="136"/>
        <v>71513.498984353835</v>
      </c>
      <c r="AH72" s="1140">
        <f t="shared" si="136"/>
        <v>69430.581538207582</v>
      </c>
      <c r="AI72" s="1140">
        <f t="shared" si="136"/>
        <v>67408.331590492817</v>
      </c>
      <c r="AJ72" s="1140">
        <f t="shared" si="136"/>
        <v>65444.982126692055</v>
      </c>
      <c r="AK72" s="1140">
        <f t="shared" si="136"/>
        <v>63538.817598730158</v>
      </c>
      <c r="AL72" s="1140">
        <f t="shared" si="136"/>
        <v>61688.172425951598</v>
      </c>
      <c r="AM72" s="1141">
        <f t="shared" si="136"/>
        <v>59891.429539758836</v>
      </c>
    </row>
    <row r="73" spans="2:39" ht="15.05" customHeight="1" x14ac:dyDescent="0.25">
      <c r="B73" s="1078" t="s">
        <v>369</v>
      </c>
      <c r="C73" s="1142"/>
      <c r="D73" s="1142"/>
      <c r="E73" s="1142"/>
      <c r="F73" s="1142"/>
      <c r="G73" s="1142"/>
      <c r="H73" s="1142"/>
      <c r="I73" s="1142"/>
      <c r="J73" s="1142"/>
      <c r="K73" s="1142"/>
      <c r="L73" s="1142"/>
      <c r="M73" s="1142"/>
      <c r="N73" s="1142"/>
      <c r="O73" s="1142"/>
      <c r="P73" s="1142"/>
      <c r="Q73" s="1142"/>
      <c r="R73" s="1142"/>
      <c r="S73" s="1142"/>
      <c r="T73" s="1142"/>
      <c r="U73" s="1142"/>
      <c r="V73" s="1142"/>
      <c r="W73" s="1142"/>
      <c r="X73" s="1142"/>
      <c r="Y73" s="1142"/>
      <c r="Z73" s="1142"/>
      <c r="AA73" s="1142"/>
      <c r="AB73" s="1142"/>
      <c r="AC73" s="1142"/>
      <c r="AD73" s="1142"/>
      <c r="AE73" s="1142"/>
      <c r="AF73" s="1142"/>
      <c r="AG73" s="1142"/>
      <c r="AH73" s="1142"/>
      <c r="AI73" s="1142"/>
      <c r="AJ73" s="1142"/>
      <c r="AK73" s="1142"/>
      <c r="AL73" s="1142"/>
      <c r="AM73" s="1143"/>
    </row>
    <row r="74" spans="2:39" ht="15.05" customHeight="1" x14ac:dyDescent="0.25">
      <c r="B74" s="1072" t="s">
        <v>1011</v>
      </c>
      <c r="C74" s="1137">
        <f t="shared" ref="C74:C78" si="137">SUM(D74:AM74)</f>
        <v>40460.582258693343</v>
      </c>
      <c r="D74" s="1140">
        <f t="shared" ref="D74:AM74" si="138">D36*D$169</f>
        <v>0</v>
      </c>
      <c r="E74" s="1140">
        <f t="shared" si="138"/>
        <v>0</v>
      </c>
      <c r="F74" s="1140">
        <f t="shared" si="138"/>
        <v>0</v>
      </c>
      <c r="G74" s="1140">
        <f t="shared" si="138"/>
        <v>0</v>
      </c>
      <c r="H74" s="1140">
        <f t="shared" si="138"/>
        <v>0</v>
      </c>
      <c r="I74" s="1140">
        <f t="shared" si="138"/>
        <v>0</v>
      </c>
      <c r="J74" s="1140">
        <f t="shared" si="138"/>
        <v>2004.144600489986</v>
      </c>
      <c r="K74" s="1140">
        <f t="shared" si="138"/>
        <v>1945.7714567863943</v>
      </c>
      <c r="L74" s="1140">
        <f t="shared" si="138"/>
        <v>1889.0985017343635</v>
      </c>
      <c r="M74" s="1140">
        <f t="shared" si="138"/>
        <v>1834.076215276081</v>
      </c>
      <c r="N74" s="1140">
        <f t="shared" si="138"/>
        <v>1780.6565196855156</v>
      </c>
      <c r="O74" s="1140">
        <f t="shared" si="138"/>
        <v>1728.7927375587533</v>
      </c>
      <c r="P74" s="1140">
        <f t="shared" si="138"/>
        <v>1678.4395510279157</v>
      </c>
      <c r="Q74" s="1140">
        <f t="shared" si="138"/>
        <v>1629.5529621630249</v>
      </c>
      <c r="R74" s="1140">
        <f t="shared" si="138"/>
        <v>1582.0902545272083</v>
      </c>
      <c r="S74" s="1140">
        <f t="shared" si="138"/>
        <v>1536.009955851659</v>
      </c>
      <c r="T74" s="1140">
        <f t="shared" si="138"/>
        <v>1491.2718017977272</v>
      </c>
      <c r="U74" s="1140">
        <f t="shared" si="138"/>
        <v>1447.8367007744923</v>
      </c>
      <c r="V74" s="1140">
        <f t="shared" si="138"/>
        <v>1405.6666997810605</v>
      </c>
      <c r="W74" s="1140">
        <f t="shared" si="138"/>
        <v>1364.7249512437481</v>
      </c>
      <c r="X74" s="1140">
        <f t="shared" si="138"/>
        <v>1324.975680819173</v>
      </c>
      <c r="Y74" s="1140">
        <f t="shared" si="138"/>
        <v>1286.3841561351196</v>
      </c>
      <c r="Z74" s="1140">
        <f t="shared" si="138"/>
        <v>1248.9166564418636</v>
      </c>
      <c r="AA74" s="1140">
        <f t="shared" si="138"/>
        <v>1212.5404431474403</v>
      </c>
      <c r="AB74" s="1140">
        <f t="shared" si="138"/>
        <v>1177.2237312111072</v>
      </c>
      <c r="AC74" s="1140">
        <f t="shared" si="138"/>
        <v>1142.935661370007</v>
      </c>
      <c r="AD74" s="1140">
        <f t="shared" si="138"/>
        <v>1109.646273174764</v>
      </c>
      <c r="AE74" s="1140">
        <f t="shared" si="138"/>
        <v>1077.3264788104507</v>
      </c>
      <c r="AF74" s="1140">
        <f t="shared" si="138"/>
        <v>1045.9480376800493</v>
      </c>
      <c r="AG74" s="1140">
        <f t="shared" si="138"/>
        <v>1015.4835317282032</v>
      </c>
      <c r="AH74" s="1140">
        <f t="shared" si="138"/>
        <v>985.90634148369213</v>
      </c>
      <c r="AI74" s="1140">
        <f t="shared" si="138"/>
        <v>957.19062279970126</v>
      </c>
      <c r="AJ74" s="1140">
        <f t="shared" si="138"/>
        <v>929.31128427155465</v>
      </c>
      <c r="AK74" s="1140">
        <f t="shared" si="138"/>
        <v>902.24396531218918</v>
      </c>
      <c r="AL74" s="1140">
        <f t="shared" si="138"/>
        <v>875.96501486620286</v>
      </c>
      <c r="AM74" s="1141">
        <f t="shared" si="138"/>
        <v>850.45147074388626</v>
      </c>
    </row>
    <row r="75" spans="2:39" ht="15.05" customHeight="1" x14ac:dyDescent="0.25">
      <c r="B75" s="1072" t="s">
        <v>849</v>
      </c>
      <c r="C75" s="1137">
        <f t="shared" si="137"/>
        <v>17720.506479286218</v>
      </c>
      <c r="D75" s="1140">
        <f t="shared" ref="D75:AM75" si="139">D37*D$169</f>
        <v>0</v>
      </c>
      <c r="E75" s="1140">
        <f t="shared" si="139"/>
        <v>0</v>
      </c>
      <c r="F75" s="1140">
        <f t="shared" si="139"/>
        <v>0</v>
      </c>
      <c r="G75" s="1140">
        <f t="shared" si="139"/>
        <v>0</v>
      </c>
      <c r="H75" s="1140">
        <f t="shared" si="139"/>
        <v>0</v>
      </c>
      <c r="I75" s="1140">
        <f t="shared" si="139"/>
        <v>0</v>
      </c>
      <c r="J75" s="1140">
        <f t="shared" si="139"/>
        <v>877.75448092516433</v>
      </c>
      <c r="K75" s="1140">
        <f t="shared" si="139"/>
        <v>852.18881643219845</v>
      </c>
      <c r="L75" s="1140">
        <f t="shared" si="139"/>
        <v>827.36778294388205</v>
      </c>
      <c r="M75" s="1140">
        <f t="shared" si="139"/>
        <v>803.26969217852616</v>
      </c>
      <c r="N75" s="1140">
        <f t="shared" si="139"/>
        <v>779.87348755196717</v>
      </c>
      <c r="O75" s="1140">
        <f t="shared" si="139"/>
        <v>757.1587257786091</v>
      </c>
      <c r="P75" s="1140">
        <f t="shared" si="139"/>
        <v>735.10555900835834</v>
      </c>
      <c r="Q75" s="1140">
        <f t="shared" si="139"/>
        <v>713.69471748384296</v>
      </c>
      <c r="R75" s="1140">
        <f t="shared" si="139"/>
        <v>692.90749270276001</v>
      </c>
      <c r="S75" s="1140">
        <f t="shared" si="139"/>
        <v>672.72572107064093</v>
      </c>
      <c r="T75" s="1140">
        <f t="shared" si="139"/>
        <v>653.13176802974851</v>
      </c>
      <c r="U75" s="1140">
        <f t="shared" si="139"/>
        <v>634.10851265024121</v>
      </c>
      <c r="V75" s="1140">
        <f t="shared" si="139"/>
        <v>615.63933267013715</v>
      </c>
      <c r="W75" s="1140">
        <f t="shared" si="139"/>
        <v>597.70808997100698</v>
      </c>
      <c r="X75" s="1140">
        <f t="shared" si="139"/>
        <v>580.29911647670588</v>
      </c>
      <c r="Y75" s="1140">
        <f t="shared" si="139"/>
        <v>563.39720046282116</v>
      </c>
      <c r="Z75" s="1140">
        <f t="shared" si="139"/>
        <v>546.98757326487487</v>
      </c>
      <c r="AA75" s="1140">
        <f t="shared" si="139"/>
        <v>531.05589637366506</v>
      </c>
      <c r="AB75" s="1140">
        <f t="shared" si="139"/>
        <v>515.58824890647088</v>
      </c>
      <c r="AC75" s="1140">
        <f t="shared" si="139"/>
        <v>500.57111544317559</v>
      </c>
      <c r="AD75" s="1140">
        <f t="shared" si="139"/>
        <v>485.99137421667535</v>
      </c>
      <c r="AE75" s="1140">
        <f t="shared" si="139"/>
        <v>471.83628564725763</v>
      </c>
      <c r="AF75" s="1140">
        <f t="shared" si="139"/>
        <v>458.09348121092978</v>
      </c>
      <c r="AG75" s="1140">
        <f t="shared" si="139"/>
        <v>444.75095263197068</v>
      </c>
      <c r="AH75" s="1140">
        <f t="shared" si="139"/>
        <v>431.79704139026273</v>
      </c>
      <c r="AI75" s="1140">
        <f t="shared" si="139"/>
        <v>419.22042853423574</v>
      </c>
      <c r="AJ75" s="1140">
        <f t="shared" si="139"/>
        <v>407.01012479052008</v>
      </c>
      <c r="AK75" s="1140">
        <f t="shared" si="139"/>
        <v>395.15546096167009</v>
      </c>
      <c r="AL75" s="1140">
        <f t="shared" si="139"/>
        <v>383.64607860356313</v>
      </c>
      <c r="AM75" s="1141">
        <f t="shared" si="139"/>
        <v>372.4719209743331</v>
      </c>
    </row>
    <row r="76" spans="2:39" ht="15.05" customHeight="1" x14ac:dyDescent="0.25">
      <c r="B76" s="1072" t="s">
        <v>814</v>
      </c>
      <c r="C76" s="1137">
        <f t="shared" si="137"/>
        <v>77.208231960933347</v>
      </c>
      <c r="D76" s="1140">
        <f t="shared" ref="D76:AM76" si="140">D38*D$169</f>
        <v>0</v>
      </c>
      <c r="E76" s="1140">
        <f t="shared" si="140"/>
        <v>0</v>
      </c>
      <c r="F76" s="1140">
        <f t="shared" si="140"/>
        <v>0</v>
      </c>
      <c r="G76" s="1140">
        <f t="shared" si="140"/>
        <v>0</v>
      </c>
      <c r="H76" s="1140">
        <f t="shared" si="140"/>
        <v>0</v>
      </c>
      <c r="I76" s="1140">
        <f t="shared" si="140"/>
        <v>0</v>
      </c>
      <c r="J76" s="1140">
        <f t="shared" si="140"/>
        <v>3.8243755418185144</v>
      </c>
      <c r="K76" s="1140">
        <f t="shared" si="140"/>
        <v>3.7129859629305964</v>
      </c>
      <c r="L76" s="1140">
        <f t="shared" si="140"/>
        <v>3.6048407407093173</v>
      </c>
      <c r="M76" s="1140">
        <f t="shared" si="140"/>
        <v>3.4998453793294337</v>
      </c>
      <c r="N76" s="1140">
        <f t="shared" si="140"/>
        <v>3.3979081352712952</v>
      </c>
      <c r="O76" s="1140">
        <f t="shared" si="140"/>
        <v>3.2989399371565979</v>
      </c>
      <c r="P76" s="1140">
        <f t="shared" si="140"/>
        <v>3.202854307919027</v>
      </c>
      <c r="Q76" s="1140">
        <f t="shared" si="140"/>
        <v>3.1095672892417734</v>
      </c>
      <c r="R76" s="1140">
        <f t="shared" si="140"/>
        <v>3.0189973681958961</v>
      </c>
      <c r="S76" s="1140">
        <f t="shared" si="140"/>
        <v>2.931065406015434</v>
      </c>
      <c r="T76" s="1140">
        <f t="shared" si="140"/>
        <v>2.8456945689470232</v>
      </c>
      <c r="U76" s="1140">
        <f t="shared" si="140"/>
        <v>2.7628102611136147</v>
      </c>
      <c r="V76" s="1140">
        <f t="shared" si="140"/>
        <v>2.6823400593336064</v>
      </c>
      <c r="W76" s="1140">
        <f t="shared" si="140"/>
        <v>2.6042136498384529</v>
      </c>
      <c r="X76" s="1140">
        <f t="shared" si="140"/>
        <v>2.5283627668334496</v>
      </c>
      <c r="Y76" s="1140">
        <f t="shared" si="140"/>
        <v>2.4547211328480096</v>
      </c>
      <c r="Z76" s="1140">
        <f t="shared" si="140"/>
        <v>2.3832244008233099</v>
      </c>
      <c r="AA76" s="1140">
        <f t="shared" si="140"/>
        <v>2.3138100978867091</v>
      </c>
      <c r="AB76" s="1140">
        <f t="shared" si="140"/>
        <v>2.246417570763795</v>
      </c>
      <c r="AC76" s="1140">
        <f t="shared" si="140"/>
        <v>2.1809879327803836</v>
      </c>
      <c r="AD76" s="1140">
        <f t="shared" si="140"/>
        <v>2.1174640124081394</v>
      </c>
      <c r="AE76" s="1140">
        <f t="shared" si="140"/>
        <v>2.0557903033088731</v>
      </c>
      <c r="AF76" s="1140">
        <f t="shared" si="140"/>
        <v>1.9959129158338578</v>
      </c>
      <c r="AG76" s="1140">
        <f t="shared" si="140"/>
        <v>1.9377795299357841</v>
      </c>
      <c r="AH76" s="1140">
        <f t="shared" si="140"/>
        <v>1.8813393494522173</v>
      </c>
      <c r="AI76" s="1140">
        <f t="shared" si="140"/>
        <v>1.8265430577205997</v>
      </c>
      <c r="AJ76" s="1140">
        <f t="shared" si="140"/>
        <v>1.7733427744860191</v>
      </c>
      <c r="AK76" s="1140">
        <f t="shared" si="140"/>
        <v>1.7216920140640966</v>
      </c>
      <c r="AL76" s="1140">
        <f t="shared" si="140"/>
        <v>1.6715456447224235</v>
      </c>
      <c r="AM76" s="1141">
        <f t="shared" si="140"/>
        <v>1.6228598492450712</v>
      </c>
    </row>
    <row r="77" spans="2:39" ht="15.05" customHeight="1" x14ac:dyDescent="0.25">
      <c r="B77" s="1072" t="s">
        <v>850</v>
      </c>
      <c r="C77" s="1137">
        <f t="shared" si="137"/>
        <v>58188.10842504265</v>
      </c>
      <c r="D77" s="1140">
        <f t="shared" ref="D77:AM77" si="141">D39*D$169</f>
        <v>0</v>
      </c>
      <c r="E77" s="1140">
        <f t="shared" si="141"/>
        <v>0</v>
      </c>
      <c r="F77" s="1140">
        <f t="shared" si="141"/>
        <v>0</v>
      </c>
      <c r="G77" s="1140">
        <f t="shared" si="141"/>
        <v>0</v>
      </c>
      <c r="H77" s="1140">
        <f t="shared" si="141"/>
        <v>0</v>
      </c>
      <c r="I77" s="1140">
        <f t="shared" si="141"/>
        <v>0</v>
      </c>
      <c r="J77" s="1140">
        <f t="shared" si="141"/>
        <v>2882.2467894099259</v>
      </c>
      <c r="K77" s="1140">
        <f t="shared" si="141"/>
        <v>2798.2978537960444</v>
      </c>
      <c r="L77" s="1140">
        <f t="shared" si="141"/>
        <v>2716.7940328116938</v>
      </c>
      <c r="M77" s="1140">
        <f t="shared" si="141"/>
        <v>2637.664109525916</v>
      </c>
      <c r="N77" s="1140">
        <f t="shared" si="141"/>
        <v>2560.8389412872975</v>
      </c>
      <c r="O77" s="1140">
        <f t="shared" si="141"/>
        <v>2486.2513993080561</v>
      </c>
      <c r="P77" s="1140">
        <f t="shared" si="141"/>
        <v>2413.8363100078213</v>
      </c>
      <c r="Q77" s="1140">
        <f t="shared" si="141"/>
        <v>2343.5303980658459</v>
      </c>
      <c r="R77" s="1140">
        <f t="shared" si="141"/>
        <v>2275.2722311318889</v>
      </c>
      <c r="S77" s="1140">
        <f t="shared" si="141"/>
        <v>2209.0021661474652</v>
      </c>
      <c r="T77" s="1140">
        <f t="shared" si="141"/>
        <v>2144.662297230549</v>
      </c>
      <c r="U77" s="1140">
        <f t="shared" si="141"/>
        <v>2082.1964050782026</v>
      </c>
      <c r="V77" s="1140">
        <f t="shared" si="141"/>
        <v>2021.5499078429154</v>
      </c>
      <c r="W77" s="1140">
        <f t="shared" si="141"/>
        <v>1962.6698134397238</v>
      </c>
      <c r="X77" s="1140">
        <f t="shared" si="141"/>
        <v>1905.5046732424503</v>
      </c>
      <c r="Y77" s="1140">
        <f t="shared" si="141"/>
        <v>1850.0045371285926</v>
      </c>
      <c r="Z77" s="1140">
        <f t="shared" si="141"/>
        <v>1796.1209098335851</v>
      </c>
      <c r="AA77" s="1140">
        <f t="shared" si="141"/>
        <v>1743.8067085762962</v>
      </c>
      <c r="AB77" s="1140">
        <f t="shared" si="141"/>
        <v>1693.0162219187343</v>
      </c>
      <c r="AC77" s="1140">
        <f t="shared" si="141"/>
        <v>1643.7050698240137</v>
      </c>
      <c r="AD77" s="1140">
        <f t="shared" si="141"/>
        <v>1595.8301648776833</v>
      </c>
      <c r="AE77" s="1140">
        <f t="shared" si="141"/>
        <v>1549.3496746385276</v>
      </c>
      <c r="AF77" s="1140">
        <f t="shared" si="141"/>
        <v>1504.2229850859492</v>
      </c>
      <c r="AG77" s="1140">
        <f t="shared" si="141"/>
        <v>1460.4106651319896</v>
      </c>
      <c r="AH77" s="1140">
        <f t="shared" si="141"/>
        <v>1417.8744321669799</v>
      </c>
      <c r="AI77" s="1140">
        <f t="shared" si="141"/>
        <v>1376.5771186087186</v>
      </c>
      <c r="AJ77" s="1140">
        <f t="shared" si="141"/>
        <v>1336.4826394259403</v>
      </c>
      <c r="AK77" s="1140">
        <f t="shared" si="141"/>
        <v>1297.5559606077093</v>
      </c>
      <c r="AL77" s="1140">
        <f t="shared" si="141"/>
        <v>1259.7630685511738</v>
      </c>
      <c r="AM77" s="1141">
        <f t="shared" si="141"/>
        <v>1223.0709403409455</v>
      </c>
    </row>
    <row r="78" spans="2:39" ht="15.05" customHeight="1" x14ac:dyDescent="0.25">
      <c r="B78" s="667" t="s">
        <v>575</v>
      </c>
      <c r="C78" s="1137">
        <f t="shared" si="137"/>
        <v>10138312.449647669</v>
      </c>
      <c r="D78" s="1140">
        <f t="shared" ref="D78:AM78" si="142">D40*D$169</f>
        <v>0</v>
      </c>
      <c r="E78" s="1140">
        <f t="shared" si="142"/>
        <v>0</v>
      </c>
      <c r="F78" s="1140">
        <f t="shared" si="142"/>
        <v>0</v>
      </c>
      <c r="G78" s="1140">
        <f t="shared" si="142"/>
        <v>0</v>
      </c>
      <c r="H78" s="1140">
        <f t="shared" si="142"/>
        <v>0</v>
      </c>
      <c r="I78" s="1140">
        <f t="shared" si="142"/>
        <v>0</v>
      </c>
      <c r="J78" s="1140">
        <f t="shared" si="142"/>
        <v>0</v>
      </c>
      <c r="K78" s="1140">
        <f t="shared" si="142"/>
        <v>0</v>
      </c>
      <c r="L78" s="1140">
        <f t="shared" si="142"/>
        <v>0</v>
      </c>
      <c r="M78" s="1140">
        <f t="shared" si="142"/>
        <v>0</v>
      </c>
      <c r="N78" s="1140">
        <f t="shared" si="142"/>
        <v>0</v>
      </c>
      <c r="O78" s="1140">
        <f t="shared" si="142"/>
        <v>0</v>
      </c>
      <c r="P78" s="1140">
        <f t="shared" si="142"/>
        <v>0</v>
      </c>
      <c r="Q78" s="1140">
        <f t="shared" si="142"/>
        <v>0</v>
      </c>
      <c r="R78" s="1140">
        <f t="shared" si="142"/>
        <v>0</v>
      </c>
      <c r="S78" s="1140">
        <f t="shared" si="142"/>
        <v>0</v>
      </c>
      <c r="T78" s="1140">
        <f t="shared" si="142"/>
        <v>0</v>
      </c>
      <c r="U78" s="1140">
        <f t="shared" si="142"/>
        <v>0</v>
      </c>
      <c r="V78" s="1140">
        <f t="shared" si="142"/>
        <v>0</v>
      </c>
      <c r="W78" s="1140">
        <f t="shared" si="142"/>
        <v>0</v>
      </c>
      <c r="X78" s="1140">
        <f t="shared" si="142"/>
        <v>0</v>
      </c>
      <c r="Y78" s="1140">
        <f t="shared" si="142"/>
        <v>0</v>
      </c>
      <c r="Z78" s="1140">
        <f t="shared" si="142"/>
        <v>0</v>
      </c>
      <c r="AA78" s="1140">
        <f t="shared" si="142"/>
        <v>0</v>
      </c>
      <c r="AB78" s="1140">
        <f t="shared" si="142"/>
        <v>0</v>
      </c>
      <c r="AC78" s="1140">
        <f t="shared" si="142"/>
        <v>0</v>
      </c>
      <c r="AD78" s="1140">
        <f t="shared" si="142"/>
        <v>0</v>
      </c>
      <c r="AE78" s="1140">
        <f t="shared" si="142"/>
        <v>0</v>
      </c>
      <c r="AF78" s="1140">
        <f t="shared" si="142"/>
        <v>0</v>
      </c>
      <c r="AG78" s="1140">
        <f t="shared" si="142"/>
        <v>0</v>
      </c>
      <c r="AH78" s="1140">
        <f t="shared" si="142"/>
        <v>0</v>
      </c>
      <c r="AI78" s="1140">
        <f t="shared" si="142"/>
        <v>0</v>
      </c>
      <c r="AJ78" s="1140">
        <f t="shared" si="142"/>
        <v>0</v>
      </c>
      <c r="AK78" s="1140">
        <f t="shared" si="142"/>
        <v>0</v>
      </c>
      <c r="AL78" s="1140">
        <f t="shared" si="142"/>
        <v>0</v>
      </c>
      <c r="AM78" s="1141">
        <f t="shared" si="142"/>
        <v>10138312.449647669</v>
      </c>
    </row>
    <row r="79" spans="2:39" ht="15.05" customHeight="1" x14ac:dyDescent="0.25">
      <c r="B79" s="668" t="s">
        <v>568</v>
      </c>
      <c r="C79" s="1144">
        <f>SUM(D79:AM79)</f>
        <v>90234883.529879406</v>
      </c>
      <c r="D79" s="1144">
        <f>SUM(D69:D72,D74:D78)</f>
        <v>0</v>
      </c>
      <c r="E79" s="1144">
        <f t="shared" ref="E79:AM79" si="143">SUM(E69:E72,E74:E78)</f>
        <v>0</v>
      </c>
      <c r="F79" s="1144">
        <f t="shared" si="143"/>
        <v>0</v>
      </c>
      <c r="G79" s="1144">
        <f t="shared" si="143"/>
        <v>0</v>
      </c>
      <c r="H79" s="1144">
        <f t="shared" si="143"/>
        <v>0</v>
      </c>
      <c r="I79" s="1144">
        <f t="shared" si="143"/>
        <v>0</v>
      </c>
      <c r="J79" s="1144">
        <f t="shared" si="143"/>
        <v>3967444.3986460054</v>
      </c>
      <c r="K79" s="1144">
        <f t="shared" si="143"/>
        <v>3851887.7656757338</v>
      </c>
      <c r="L79" s="1144">
        <f t="shared" si="143"/>
        <v>3739696.8598793531</v>
      </c>
      <c r="M79" s="1144">
        <f t="shared" si="143"/>
        <v>3630773.6503683031</v>
      </c>
      <c r="N79" s="1144">
        <f t="shared" si="143"/>
        <v>3525022.9615226253</v>
      </c>
      <c r="O79" s="1144">
        <f t="shared" si="143"/>
        <v>3422352.3898277921</v>
      </c>
      <c r="P79" s="1144">
        <f t="shared" si="143"/>
        <v>3322672.2231337782</v>
      </c>
      <c r="Q79" s="1144">
        <f t="shared" si="143"/>
        <v>3225895.3622658043</v>
      </c>
      <c r="R79" s="1144">
        <f t="shared" si="143"/>
        <v>3131937.2449182556</v>
      </c>
      <c r="S79" s="1144">
        <f t="shared" si="143"/>
        <v>3040715.7717652977</v>
      </c>
      <c r="T79" s="1144">
        <f t="shared" si="143"/>
        <v>2952151.2347235898</v>
      </c>
      <c r="U79" s="1144">
        <f t="shared" si="143"/>
        <v>2866166.2473044558</v>
      </c>
      <c r="V79" s="1144">
        <f t="shared" si="143"/>
        <v>2782685.676994618</v>
      </c>
      <c r="W79" s="1144">
        <f t="shared" si="143"/>
        <v>2701636.5796064255</v>
      </c>
      <c r="X79" s="1144">
        <f t="shared" si="143"/>
        <v>2622948.135540219</v>
      </c>
      <c r="Y79" s="1144">
        <f t="shared" si="143"/>
        <v>2546551.5879031243</v>
      </c>
      <c r="Z79" s="1144">
        <f t="shared" si="143"/>
        <v>2472380.1824302189</v>
      </c>
      <c r="AA79" s="1144">
        <f t="shared" si="143"/>
        <v>2400369.109155552</v>
      </c>
      <c r="AB79" s="1144">
        <f t="shared" si="143"/>
        <v>2330455.4457820891</v>
      </c>
      <c r="AC79" s="1144">
        <f t="shared" si="143"/>
        <v>2262578.1027010572</v>
      </c>
      <c r="AD79" s="1144">
        <f t="shared" si="143"/>
        <v>2196677.7696126769</v>
      </c>
      <c r="AE79" s="1144">
        <f t="shared" si="143"/>
        <v>2132696.8637016285</v>
      </c>
      <c r="AF79" s="1144">
        <f t="shared" si="143"/>
        <v>2070579.4793219697</v>
      </c>
      <c r="AG79" s="1144">
        <f t="shared" si="143"/>
        <v>2010271.3391475433</v>
      </c>
      <c r="AH79" s="1144">
        <f t="shared" si="143"/>
        <v>1951719.7467451873</v>
      </c>
      <c r="AI79" s="1144">
        <f t="shared" si="143"/>
        <v>1894873.5405293084</v>
      </c>
      <c r="AJ79" s="1144">
        <f t="shared" si="143"/>
        <v>1839683.0490575808</v>
      </c>
      <c r="AK79" s="1144">
        <f t="shared" si="143"/>
        <v>1786100.0476287194</v>
      </c>
      <c r="AL79" s="1144">
        <f t="shared" si="143"/>
        <v>1734077.7161443876</v>
      </c>
      <c r="AM79" s="1145">
        <f t="shared" si="143"/>
        <v>11821883.047846103</v>
      </c>
    </row>
    <row r="80" spans="2:39" ht="15.05" customHeight="1" x14ac:dyDescent="0.25">
      <c r="B80" s="667" t="s">
        <v>569</v>
      </c>
      <c r="C80" s="1137">
        <f t="shared" ref="C80:C81" si="144">SUM(D80:AM80)</f>
        <v>65265499.00086347</v>
      </c>
      <c r="D80" s="1140">
        <f t="shared" ref="D80:AM80" si="145">D42*D$169</f>
        <v>0</v>
      </c>
      <c r="E80" s="1140">
        <f t="shared" si="145"/>
        <v>6955302.3051984152</v>
      </c>
      <c r="F80" s="1140">
        <f t="shared" si="145"/>
        <v>15426550.473428482</v>
      </c>
      <c r="G80" s="1140">
        <f t="shared" si="145"/>
        <v>19631504.612181105</v>
      </c>
      <c r="H80" s="1140">
        <f t="shared" si="145"/>
        <v>18300670.33065192</v>
      </c>
      <c r="I80" s="1140">
        <f t="shared" si="145"/>
        <v>4951471.2794035459</v>
      </c>
      <c r="J80" s="1140">
        <f t="shared" si="145"/>
        <v>0</v>
      </c>
      <c r="K80" s="1140">
        <f t="shared" si="145"/>
        <v>0</v>
      </c>
      <c r="L80" s="1140">
        <f t="shared" si="145"/>
        <v>0</v>
      </c>
      <c r="M80" s="1140">
        <f t="shared" si="145"/>
        <v>0</v>
      </c>
      <c r="N80" s="1140">
        <f t="shared" si="145"/>
        <v>0</v>
      </c>
      <c r="O80" s="1140">
        <f t="shared" si="145"/>
        <v>0</v>
      </c>
      <c r="P80" s="1140">
        <f t="shared" si="145"/>
        <v>0</v>
      </c>
      <c r="Q80" s="1140">
        <f t="shared" si="145"/>
        <v>0</v>
      </c>
      <c r="R80" s="1140">
        <f t="shared" si="145"/>
        <v>0</v>
      </c>
      <c r="S80" s="1140">
        <f t="shared" si="145"/>
        <v>0</v>
      </c>
      <c r="T80" s="1140">
        <f t="shared" si="145"/>
        <v>0</v>
      </c>
      <c r="U80" s="1140">
        <f t="shared" si="145"/>
        <v>0</v>
      </c>
      <c r="V80" s="1140">
        <f t="shared" si="145"/>
        <v>0</v>
      </c>
      <c r="W80" s="1140">
        <f t="shared" si="145"/>
        <v>0</v>
      </c>
      <c r="X80" s="1140">
        <f t="shared" si="145"/>
        <v>0</v>
      </c>
      <c r="Y80" s="1140">
        <f t="shared" si="145"/>
        <v>0</v>
      </c>
      <c r="Z80" s="1140">
        <f t="shared" si="145"/>
        <v>0</v>
      </c>
      <c r="AA80" s="1140">
        <f t="shared" si="145"/>
        <v>0</v>
      </c>
      <c r="AB80" s="1140">
        <f t="shared" si="145"/>
        <v>0</v>
      </c>
      <c r="AC80" s="1140">
        <f t="shared" si="145"/>
        <v>0</v>
      </c>
      <c r="AD80" s="1140">
        <f t="shared" si="145"/>
        <v>0</v>
      </c>
      <c r="AE80" s="1140">
        <f t="shared" si="145"/>
        <v>0</v>
      </c>
      <c r="AF80" s="1140">
        <f t="shared" si="145"/>
        <v>0</v>
      </c>
      <c r="AG80" s="1140">
        <f t="shared" si="145"/>
        <v>0</v>
      </c>
      <c r="AH80" s="1140">
        <f t="shared" si="145"/>
        <v>0</v>
      </c>
      <c r="AI80" s="1140">
        <f t="shared" si="145"/>
        <v>0</v>
      </c>
      <c r="AJ80" s="1140">
        <f t="shared" si="145"/>
        <v>0</v>
      </c>
      <c r="AK80" s="1140">
        <f t="shared" si="145"/>
        <v>0</v>
      </c>
      <c r="AL80" s="1140">
        <f t="shared" si="145"/>
        <v>0</v>
      </c>
      <c r="AM80" s="1141">
        <f t="shared" si="145"/>
        <v>0</v>
      </c>
    </row>
    <row r="81" spans="2:39" ht="15.05" customHeight="1" x14ac:dyDescent="0.25">
      <c r="B81" s="667" t="s">
        <v>583</v>
      </c>
      <c r="C81" s="1137">
        <f t="shared" si="144"/>
        <v>0</v>
      </c>
      <c r="D81" s="1140">
        <f t="shared" ref="D81:AM81" si="146">D43*D$169</f>
        <v>0</v>
      </c>
      <c r="E81" s="1140">
        <f t="shared" si="146"/>
        <v>0</v>
      </c>
      <c r="F81" s="1140">
        <f t="shared" si="146"/>
        <v>0</v>
      </c>
      <c r="G81" s="1140">
        <f t="shared" si="146"/>
        <v>0</v>
      </c>
      <c r="H81" s="1140">
        <f t="shared" si="146"/>
        <v>0</v>
      </c>
      <c r="I81" s="1140">
        <f t="shared" si="146"/>
        <v>0</v>
      </c>
      <c r="J81" s="1140">
        <f t="shared" si="146"/>
        <v>0</v>
      </c>
      <c r="K81" s="1140">
        <f t="shared" si="146"/>
        <v>0</v>
      </c>
      <c r="L81" s="1140">
        <f t="shared" si="146"/>
        <v>0</v>
      </c>
      <c r="M81" s="1140">
        <f t="shared" si="146"/>
        <v>0</v>
      </c>
      <c r="N81" s="1140">
        <f t="shared" si="146"/>
        <v>0</v>
      </c>
      <c r="O81" s="1140">
        <f t="shared" si="146"/>
        <v>0</v>
      </c>
      <c r="P81" s="1140">
        <f t="shared" si="146"/>
        <v>0</v>
      </c>
      <c r="Q81" s="1140">
        <f t="shared" si="146"/>
        <v>0</v>
      </c>
      <c r="R81" s="1140">
        <f t="shared" si="146"/>
        <v>0</v>
      </c>
      <c r="S81" s="1140">
        <f t="shared" si="146"/>
        <v>0</v>
      </c>
      <c r="T81" s="1140">
        <f t="shared" si="146"/>
        <v>0</v>
      </c>
      <c r="U81" s="1140">
        <f t="shared" si="146"/>
        <v>0</v>
      </c>
      <c r="V81" s="1140">
        <f t="shared" si="146"/>
        <v>0</v>
      </c>
      <c r="W81" s="1140">
        <f t="shared" si="146"/>
        <v>0</v>
      </c>
      <c r="X81" s="1140">
        <f t="shared" si="146"/>
        <v>0</v>
      </c>
      <c r="Y81" s="1140">
        <f t="shared" si="146"/>
        <v>0</v>
      </c>
      <c r="Z81" s="1140">
        <f t="shared" si="146"/>
        <v>0</v>
      </c>
      <c r="AA81" s="1140">
        <f t="shared" si="146"/>
        <v>0</v>
      </c>
      <c r="AB81" s="1140">
        <f t="shared" si="146"/>
        <v>0</v>
      </c>
      <c r="AC81" s="1140">
        <f t="shared" si="146"/>
        <v>0</v>
      </c>
      <c r="AD81" s="1140">
        <f t="shared" si="146"/>
        <v>0</v>
      </c>
      <c r="AE81" s="1140">
        <f t="shared" si="146"/>
        <v>0</v>
      </c>
      <c r="AF81" s="1140">
        <f t="shared" si="146"/>
        <v>0</v>
      </c>
      <c r="AG81" s="1140">
        <f t="shared" si="146"/>
        <v>0</v>
      </c>
      <c r="AH81" s="1140">
        <f t="shared" si="146"/>
        <v>0</v>
      </c>
      <c r="AI81" s="1140">
        <f t="shared" si="146"/>
        <v>0</v>
      </c>
      <c r="AJ81" s="1140">
        <f t="shared" si="146"/>
        <v>0</v>
      </c>
      <c r="AK81" s="1140">
        <f t="shared" si="146"/>
        <v>0</v>
      </c>
      <c r="AL81" s="1140">
        <f t="shared" si="146"/>
        <v>0</v>
      </c>
      <c r="AM81" s="1141">
        <f t="shared" si="146"/>
        <v>0</v>
      </c>
    </row>
    <row r="82" spans="2:39" ht="15.05" customHeight="1" x14ac:dyDescent="0.25">
      <c r="B82" s="668" t="s">
        <v>570</v>
      </c>
      <c r="C82" s="1144">
        <f>SUM(C80:C81)</f>
        <v>65265499.00086347</v>
      </c>
      <c r="D82" s="1144">
        <f t="shared" ref="D82:AM82" si="147">SUM(D80:D81)</f>
        <v>0</v>
      </c>
      <c r="E82" s="1144">
        <f t="shared" si="147"/>
        <v>6955302.3051984152</v>
      </c>
      <c r="F82" s="1144">
        <f t="shared" si="147"/>
        <v>15426550.473428482</v>
      </c>
      <c r="G82" s="1144">
        <f t="shared" si="147"/>
        <v>19631504.612181105</v>
      </c>
      <c r="H82" s="1144">
        <f t="shared" si="147"/>
        <v>18300670.33065192</v>
      </c>
      <c r="I82" s="1144">
        <f t="shared" si="147"/>
        <v>4951471.2794035459</v>
      </c>
      <c r="J82" s="1144">
        <f t="shared" si="147"/>
        <v>0</v>
      </c>
      <c r="K82" s="1144">
        <f t="shared" si="147"/>
        <v>0</v>
      </c>
      <c r="L82" s="1144">
        <f t="shared" si="147"/>
        <v>0</v>
      </c>
      <c r="M82" s="1144">
        <f t="shared" si="147"/>
        <v>0</v>
      </c>
      <c r="N82" s="1144">
        <f t="shared" si="147"/>
        <v>0</v>
      </c>
      <c r="O82" s="1144">
        <f t="shared" si="147"/>
        <v>0</v>
      </c>
      <c r="P82" s="1144">
        <f t="shared" si="147"/>
        <v>0</v>
      </c>
      <c r="Q82" s="1144">
        <f t="shared" si="147"/>
        <v>0</v>
      </c>
      <c r="R82" s="1144">
        <f t="shared" si="147"/>
        <v>0</v>
      </c>
      <c r="S82" s="1144">
        <f t="shared" si="147"/>
        <v>0</v>
      </c>
      <c r="T82" s="1144">
        <f t="shared" si="147"/>
        <v>0</v>
      </c>
      <c r="U82" s="1144">
        <f t="shared" si="147"/>
        <v>0</v>
      </c>
      <c r="V82" s="1144">
        <f t="shared" si="147"/>
        <v>0</v>
      </c>
      <c r="W82" s="1144">
        <f t="shared" si="147"/>
        <v>0</v>
      </c>
      <c r="X82" s="1144">
        <f t="shared" si="147"/>
        <v>0</v>
      </c>
      <c r="Y82" s="1144">
        <f t="shared" si="147"/>
        <v>0</v>
      </c>
      <c r="Z82" s="1144">
        <f t="shared" si="147"/>
        <v>0</v>
      </c>
      <c r="AA82" s="1144">
        <f t="shared" si="147"/>
        <v>0</v>
      </c>
      <c r="AB82" s="1144">
        <f t="shared" si="147"/>
        <v>0</v>
      </c>
      <c r="AC82" s="1144">
        <f t="shared" si="147"/>
        <v>0</v>
      </c>
      <c r="AD82" s="1144">
        <f t="shared" si="147"/>
        <v>0</v>
      </c>
      <c r="AE82" s="1144">
        <f t="shared" si="147"/>
        <v>0</v>
      </c>
      <c r="AF82" s="1144">
        <f t="shared" si="147"/>
        <v>0</v>
      </c>
      <c r="AG82" s="1144">
        <f t="shared" si="147"/>
        <v>0</v>
      </c>
      <c r="AH82" s="1144">
        <f t="shared" si="147"/>
        <v>0</v>
      </c>
      <c r="AI82" s="1144">
        <f t="shared" si="147"/>
        <v>0</v>
      </c>
      <c r="AJ82" s="1144">
        <f t="shared" si="147"/>
        <v>0</v>
      </c>
      <c r="AK82" s="1145">
        <f t="shared" si="147"/>
        <v>0</v>
      </c>
      <c r="AL82" s="1145">
        <f t="shared" si="147"/>
        <v>0</v>
      </c>
      <c r="AM82" s="1145">
        <f t="shared" si="147"/>
        <v>0</v>
      </c>
    </row>
    <row r="83" spans="2:39" ht="15.05" customHeight="1" x14ac:dyDescent="0.25">
      <c r="B83" s="726" t="s">
        <v>612</v>
      </c>
      <c r="C83" s="1146">
        <f>SUM(D83:AM83)</f>
        <v>24969384.529015936</v>
      </c>
      <c r="D83" s="1146">
        <f>D79-D82</f>
        <v>0</v>
      </c>
      <c r="E83" s="1146">
        <f t="shared" ref="E83:Y83" si="148">E79-E82</f>
        <v>-6955302.3051984152</v>
      </c>
      <c r="F83" s="1146">
        <f t="shared" si="148"/>
        <v>-15426550.473428482</v>
      </c>
      <c r="G83" s="1146">
        <f t="shared" si="148"/>
        <v>-19631504.612181105</v>
      </c>
      <c r="H83" s="1146">
        <f t="shared" si="148"/>
        <v>-18300670.33065192</v>
      </c>
      <c r="I83" s="1146">
        <f t="shared" si="148"/>
        <v>-4951471.2794035459</v>
      </c>
      <c r="J83" s="1146">
        <f t="shared" si="148"/>
        <v>3967444.3986460054</v>
      </c>
      <c r="K83" s="1146">
        <f t="shared" si="148"/>
        <v>3851887.7656757338</v>
      </c>
      <c r="L83" s="1146">
        <f t="shared" si="148"/>
        <v>3739696.8598793531</v>
      </c>
      <c r="M83" s="1146">
        <f t="shared" si="148"/>
        <v>3630773.6503683031</v>
      </c>
      <c r="N83" s="1146">
        <f t="shared" si="148"/>
        <v>3525022.9615226253</v>
      </c>
      <c r="O83" s="1146">
        <f t="shared" si="148"/>
        <v>3422352.3898277921</v>
      </c>
      <c r="P83" s="1146">
        <f t="shared" si="148"/>
        <v>3322672.2231337782</v>
      </c>
      <c r="Q83" s="1146">
        <f t="shared" si="148"/>
        <v>3225895.3622658043</v>
      </c>
      <c r="R83" s="1146">
        <f t="shared" si="148"/>
        <v>3131937.2449182556</v>
      </c>
      <c r="S83" s="1146">
        <f t="shared" si="148"/>
        <v>3040715.7717652977</v>
      </c>
      <c r="T83" s="1146">
        <f t="shared" si="148"/>
        <v>2952151.2347235898</v>
      </c>
      <c r="U83" s="1146">
        <f t="shared" si="148"/>
        <v>2866166.2473044558</v>
      </c>
      <c r="V83" s="1146">
        <f t="shared" si="148"/>
        <v>2782685.676994618</v>
      </c>
      <c r="W83" s="1146">
        <f t="shared" si="148"/>
        <v>2701636.5796064255</v>
      </c>
      <c r="X83" s="1146">
        <f t="shared" si="148"/>
        <v>2622948.135540219</v>
      </c>
      <c r="Y83" s="1146">
        <f t="shared" si="148"/>
        <v>2546551.5879031243</v>
      </c>
      <c r="Z83" s="1146">
        <f>Z79-Z82</f>
        <v>2472380.1824302189</v>
      </c>
      <c r="AA83" s="1146">
        <f t="shared" ref="AA83:AM83" si="149">AA79-AA82</f>
        <v>2400369.109155552</v>
      </c>
      <c r="AB83" s="1146">
        <f t="shared" si="149"/>
        <v>2330455.4457820891</v>
      </c>
      <c r="AC83" s="1146">
        <f t="shared" si="149"/>
        <v>2262578.1027010572</v>
      </c>
      <c r="AD83" s="1146">
        <f t="shared" si="149"/>
        <v>2196677.7696126769</v>
      </c>
      <c r="AE83" s="1146">
        <f t="shared" si="149"/>
        <v>2132696.8637016285</v>
      </c>
      <c r="AF83" s="1146">
        <f t="shared" si="149"/>
        <v>2070579.4793219697</v>
      </c>
      <c r="AG83" s="1146">
        <f t="shared" si="149"/>
        <v>2010271.3391475433</v>
      </c>
      <c r="AH83" s="1146">
        <f t="shared" si="149"/>
        <v>1951719.7467451873</v>
      </c>
      <c r="AI83" s="1146">
        <f t="shared" si="149"/>
        <v>1894873.5405293084</v>
      </c>
      <c r="AJ83" s="1146">
        <f t="shared" si="149"/>
        <v>1839683.0490575808</v>
      </c>
      <c r="AK83" s="1147">
        <f t="shared" si="149"/>
        <v>1786100.0476287194</v>
      </c>
      <c r="AL83" s="1147">
        <f t="shared" si="149"/>
        <v>1734077.7161443876</v>
      </c>
      <c r="AM83" s="1147">
        <f t="shared" si="149"/>
        <v>11821883.047846103</v>
      </c>
    </row>
    <row r="84" spans="2:39" ht="15.05" customHeight="1" x14ac:dyDescent="0.25">
      <c r="B84" s="727" t="s">
        <v>613</v>
      </c>
      <c r="C84" s="1148"/>
      <c r="D84" s="1148">
        <f>D83</f>
        <v>0</v>
      </c>
      <c r="E84" s="1148">
        <f>D84+E83</f>
        <v>-6955302.3051984152</v>
      </c>
      <c r="F84" s="1148">
        <f>E84+F83</f>
        <v>-22381852.778626896</v>
      </c>
      <c r="G84" s="1148">
        <f>F84+G83</f>
        <v>-42013357.390808001</v>
      </c>
      <c r="H84" s="1148">
        <f t="shared" ref="H84" si="150">G84+H83</f>
        <v>-60314027.721459925</v>
      </c>
      <c r="I84" s="1148">
        <f t="shared" ref="I84" si="151">H84+I83</f>
        <v>-65265499.00086347</v>
      </c>
      <c r="J84" s="1148">
        <f t="shared" ref="J84" si="152">I84+J83</f>
        <v>-61298054.602217466</v>
      </c>
      <c r="K84" s="1148">
        <f t="shared" ref="K84" si="153">J84+K83</f>
        <v>-57446166.836541735</v>
      </c>
      <c r="L84" s="1148">
        <f t="shared" ref="L84" si="154">K84+L83</f>
        <v>-53706469.976662382</v>
      </c>
      <c r="M84" s="1148">
        <f t="shared" ref="M84" si="155">L84+M83</f>
        <v>-50075696.326294079</v>
      </c>
      <c r="N84" s="1148">
        <f t="shared" ref="N84" si="156">M84+N83</f>
        <v>-46550673.364771456</v>
      </c>
      <c r="O84" s="1148">
        <f t="shared" ref="O84" si="157">N84+O83</f>
        <v>-43128320.97494366</v>
      </c>
      <c r="P84" s="1148">
        <f t="shared" ref="P84" si="158">O84+P83</f>
        <v>-39805648.75180988</v>
      </c>
      <c r="Q84" s="1148">
        <f t="shared" ref="Q84" si="159">P84+Q83</f>
        <v>-36579753.389544077</v>
      </c>
      <c r="R84" s="1148">
        <f t="shared" ref="R84" si="160">Q84+R83</f>
        <v>-33447816.14462582</v>
      </c>
      <c r="S84" s="1148">
        <f t="shared" ref="S84" si="161">R84+S83</f>
        <v>-30407100.372860521</v>
      </c>
      <c r="T84" s="1148">
        <f t="shared" ref="T84" si="162">S84+T83</f>
        <v>-27454949.138136931</v>
      </c>
      <c r="U84" s="1148">
        <f t="shared" ref="U84" si="163">T84+U83</f>
        <v>-24588782.890832476</v>
      </c>
      <c r="V84" s="1148">
        <f t="shared" ref="V84" si="164">U84+V83</f>
        <v>-21806097.213837858</v>
      </c>
      <c r="W84" s="1148">
        <f t="shared" ref="W84" si="165">V84+W83</f>
        <v>-19104460.634231433</v>
      </c>
      <c r="X84" s="1148">
        <f t="shared" ref="X84" si="166">W84+X83</f>
        <v>-16481512.498691214</v>
      </c>
      <c r="Y84" s="1148">
        <f t="shared" ref="Y84" si="167">X84+Y83</f>
        <v>-13934960.910788089</v>
      </c>
      <c r="Z84" s="1148">
        <f>Y84+Z83</f>
        <v>-11462580.72835787</v>
      </c>
      <c r="AA84" s="1148">
        <f>Z84+AA83</f>
        <v>-9062211.6192023177</v>
      </c>
      <c r="AB84" s="1148">
        <f t="shared" ref="AB84" si="168">AA84+AB83</f>
        <v>-6731756.1734202281</v>
      </c>
      <c r="AC84" s="1148">
        <f t="shared" ref="AC84" si="169">AB84+AC83</f>
        <v>-4469178.0707191713</v>
      </c>
      <c r="AD84" s="1148">
        <f t="shared" ref="AD84" si="170">AC84+AD83</f>
        <v>-2272500.3011064944</v>
      </c>
      <c r="AE84" s="1148">
        <f t="shared" ref="AE84" si="171">AD84+AE83</f>
        <v>-139803.43740486586</v>
      </c>
      <c r="AF84" s="1148">
        <f t="shared" ref="AF84" si="172">AE84+AF83</f>
        <v>1930776.0419171038</v>
      </c>
      <c r="AG84" s="1148">
        <f t="shared" ref="AG84" si="173">AF84+AG83</f>
        <v>3941047.3810646469</v>
      </c>
      <c r="AH84" s="1148">
        <f t="shared" ref="AH84" si="174">AG84+AH83</f>
        <v>5892767.1278098337</v>
      </c>
      <c r="AI84" s="1148">
        <f t="shared" ref="AI84" si="175">AH84+AI83</f>
        <v>7787640.6683391426</v>
      </c>
      <c r="AJ84" s="1148">
        <f t="shared" ref="AJ84" si="176">AI84+AJ83</f>
        <v>9627323.7173967231</v>
      </c>
      <c r="AK84" s="1149">
        <f t="shared" ref="AK84" si="177">AJ84+AK83</f>
        <v>11413423.765025442</v>
      </c>
      <c r="AL84" s="1149">
        <f t="shared" ref="AL84" si="178">AK84+AL83</f>
        <v>13147501.481169831</v>
      </c>
      <c r="AM84" s="1149">
        <f t="shared" ref="AM84" si="179">AL84+AM83</f>
        <v>24969384.529015936</v>
      </c>
    </row>
    <row r="85" spans="2:39" s="657" customFormat="1" ht="15.05" customHeight="1" x14ac:dyDescent="0.25">
      <c r="B85" s="935"/>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c r="AK85" s="939"/>
      <c r="AL85" s="939"/>
      <c r="AM85" s="939"/>
    </row>
    <row r="86" spans="2:39" ht="14.25" customHeight="1" x14ac:dyDescent="0.25">
      <c r="B86" s="936" t="s">
        <v>1141</v>
      </c>
    </row>
    <row r="87" spans="2:39" ht="15.05" customHeight="1" x14ac:dyDescent="0.25">
      <c r="B87" s="725" t="s">
        <v>581</v>
      </c>
      <c r="C87" s="670" t="s">
        <v>393</v>
      </c>
      <c r="D87" s="670">
        <v>2019</v>
      </c>
      <c r="E87" s="670">
        <f>D87+1</f>
        <v>2020</v>
      </c>
      <c r="F87" s="670">
        <f t="shared" ref="F87" si="180">E87+1</f>
        <v>2021</v>
      </c>
      <c r="G87" s="670">
        <f t="shared" ref="G87" si="181">F87+1</f>
        <v>2022</v>
      </c>
      <c r="H87" s="670">
        <f t="shared" ref="H87" si="182">G87+1</f>
        <v>2023</v>
      </c>
      <c r="I87" s="670">
        <f t="shared" ref="I87" si="183">H87+1</f>
        <v>2024</v>
      </c>
      <c r="J87" s="670">
        <f t="shared" ref="J87" si="184">I87+1</f>
        <v>2025</v>
      </c>
      <c r="K87" s="670">
        <f t="shared" ref="K87" si="185">J87+1</f>
        <v>2026</v>
      </c>
      <c r="L87" s="670">
        <f t="shared" ref="L87" si="186">K87+1</f>
        <v>2027</v>
      </c>
      <c r="M87" s="670">
        <f t="shared" ref="M87" si="187">L87+1</f>
        <v>2028</v>
      </c>
      <c r="N87" s="670">
        <f t="shared" ref="N87" si="188">M87+1</f>
        <v>2029</v>
      </c>
      <c r="O87" s="670">
        <f t="shared" ref="O87" si="189">N87+1</f>
        <v>2030</v>
      </c>
      <c r="P87" s="670">
        <f t="shared" ref="P87" si="190">O87+1</f>
        <v>2031</v>
      </c>
      <c r="Q87" s="670">
        <f t="shared" ref="Q87" si="191">P87+1</f>
        <v>2032</v>
      </c>
      <c r="R87" s="670">
        <f t="shared" ref="R87" si="192">Q87+1</f>
        <v>2033</v>
      </c>
      <c r="S87" s="670">
        <f t="shared" ref="S87" si="193">R87+1</f>
        <v>2034</v>
      </c>
      <c r="T87" s="670">
        <f t="shared" ref="T87" si="194">S87+1</f>
        <v>2035</v>
      </c>
      <c r="U87" s="670">
        <f t="shared" ref="U87" si="195">T87+1</f>
        <v>2036</v>
      </c>
      <c r="V87" s="670">
        <f t="shared" ref="V87" si="196">U87+1</f>
        <v>2037</v>
      </c>
      <c r="W87" s="670">
        <f t="shared" ref="W87" si="197">V87+1</f>
        <v>2038</v>
      </c>
      <c r="X87" s="670">
        <f t="shared" ref="X87" si="198">W87+1</f>
        <v>2039</v>
      </c>
      <c r="Y87" s="670">
        <f t="shared" ref="Y87" si="199">X87+1</f>
        <v>2040</v>
      </c>
      <c r="Z87" s="670">
        <f t="shared" ref="Z87" si="200">Y87+1</f>
        <v>2041</v>
      </c>
      <c r="AA87" s="670">
        <f t="shared" ref="AA87" si="201">Z87+1</f>
        <v>2042</v>
      </c>
      <c r="AB87" s="670">
        <f t="shared" ref="AB87" si="202">AA87+1</f>
        <v>2043</v>
      </c>
      <c r="AC87" s="670">
        <f t="shared" ref="AC87" si="203">AB87+1</f>
        <v>2044</v>
      </c>
      <c r="AD87" s="670">
        <f t="shared" ref="AD87" si="204">AC87+1</f>
        <v>2045</v>
      </c>
      <c r="AE87" s="670">
        <f t="shared" ref="AE87" si="205">AD87+1</f>
        <v>2046</v>
      </c>
      <c r="AF87" s="670">
        <f t="shared" ref="AF87" si="206">AE87+1</f>
        <v>2047</v>
      </c>
      <c r="AG87" s="670">
        <f t="shared" ref="AG87" si="207">AF87+1</f>
        <v>2048</v>
      </c>
      <c r="AH87" s="670">
        <f t="shared" ref="AH87" si="208">AG87+1</f>
        <v>2049</v>
      </c>
      <c r="AI87" s="670">
        <f t="shared" ref="AI87" si="209">AH87+1</f>
        <v>2050</v>
      </c>
      <c r="AJ87" s="671">
        <f t="shared" ref="AJ87" si="210">AI87+1</f>
        <v>2051</v>
      </c>
      <c r="AK87" s="671">
        <f t="shared" ref="AK87" si="211">AJ87+1</f>
        <v>2052</v>
      </c>
      <c r="AL87" s="671">
        <f t="shared" ref="AL87" si="212">AK87+1</f>
        <v>2053</v>
      </c>
      <c r="AM87" s="671">
        <f t="shared" ref="AM87" si="213">AL87+1</f>
        <v>2054</v>
      </c>
    </row>
    <row r="88" spans="2:39" ht="15.05" customHeight="1" x14ac:dyDescent="0.25">
      <c r="B88" s="1073" t="s">
        <v>1011</v>
      </c>
      <c r="C88" s="1137">
        <f t="shared" ref="C88:C92" si="214">SUM(D88:AM88)</f>
        <v>73945.352000250001</v>
      </c>
      <c r="D88" s="1140">
        <f t="shared" ref="D88:AM88" si="215">D36</f>
        <v>0</v>
      </c>
      <c r="E88" s="1140">
        <f t="shared" si="215"/>
        <v>0</v>
      </c>
      <c r="F88" s="1140">
        <f t="shared" si="215"/>
        <v>0</v>
      </c>
      <c r="G88" s="1140">
        <f t="shared" si="215"/>
        <v>0</v>
      </c>
      <c r="H88" s="1140">
        <f t="shared" si="215"/>
        <v>0</v>
      </c>
      <c r="I88" s="1140">
        <f t="shared" si="215"/>
        <v>0</v>
      </c>
      <c r="J88" s="1140">
        <f t="shared" si="215"/>
        <v>2464.8450666750009</v>
      </c>
      <c r="K88" s="1140">
        <f t="shared" si="215"/>
        <v>2464.8450666750009</v>
      </c>
      <c r="L88" s="1140">
        <f t="shared" si="215"/>
        <v>2464.8450666750009</v>
      </c>
      <c r="M88" s="1140">
        <f t="shared" si="215"/>
        <v>2464.8450666750009</v>
      </c>
      <c r="N88" s="1140">
        <f t="shared" si="215"/>
        <v>2464.8450666750009</v>
      </c>
      <c r="O88" s="1140">
        <f t="shared" si="215"/>
        <v>2464.8450666750009</v>
      </c>
      <c r="P88" s="1140">
        <f t="shared" si="215"/>
        <v>2464.8450666750009</v>
      </c>
      <c r="Q88" s="1140">
        <f t="shared" si="215"/>
        <v>2464.8450666750009</v>
      </c>
      <c r="R88" s="1140">
        <f t="shared" si="215"/>
        <v>2464.8450666750009</v>
      </c>
      <c r="S88" s="1140">
        <f t="shared" si="215"/>
        <v>2464.8450666750009</v>
      </c>
      <c r="T88" s="1140">
        <f t="shared" si="215"/>
        <v>2464.8450666750009</v>
      </c>
      <c r="U88" s="1140">
        <f t="shared" si="215"/>
        <v>2464.8450666750009</v>
      </c>
      <c r="V88" s="1140">
        <f t="shared" si="215"/>
        <v>2464.8450666750009</v>
      </c>
      <c r="W88" s="1140">
        <f t="shared" si="215"/>
        <v>2464.8450666750009</v>
      </c>
      <c r="X88" s="1140">
        <f t="shared" si="215"/>
        <v>2464.8450666750009</v>
      </c>
      <c r="Y88" s="1140">
        <f t="shared" si="215"/>
        <v>2464.8450666750009</v>
      </c>
      <c r="Z88" s="1140">
        <f t="shared" si="215"/>
        <v>2464.8450666750009</v>
      </c>
      <c r="AA88" s="1140">
        <f t="shared" si="215"/>
        <v>2464.8450666750009</v>
      </c>
      <c r="AB88" s="1140">
        <f t="shared" si="215"/>
        <v>2464.8450666750009</v>
      </c>
      <c r="AC88" s="1140">
        <f t="shared" si="215"/>
        <v>2464.8450666750009</v>
      </c>
      <c r="AD88" s="1140">
        <f t="shared" si="215"/>
        <v>2464.8450666750009</v>
      </c>
      <c r="AE88" s="1140">
        <f t="shared" si="215"/>
        <v>2464.8450666750009</v>
      </c>
      <c r="AF88" s="1140">
        <f t="shared" si="215"/>
        <v>2464.8450666750009</v>
      </c>
      <c r="AG88" s="1140">
        <f t="shared" si="215"/>
        <v>2464.8450666750009</v>
      </c>
      <c r="AH88" s="1140">
        <f t="shared" si="215"/>
        <v>2464.8450666750009</v>
      </c>
      <c r="AI88" s="1140">
        <f t="shared" si="215"/>
        <v>2464.8450666750009</v>
      </c>
      <c r="AJ88" s="1140">
        <f t="shared" si="215"/>
        <v>2464.8450666750009</v>
      </c>
      <c r="AK88" s="1140">
        <f t="shared" si="215"/>
        <v>2464.8450666750009</v>
      </c>
      <c r="AL88" s="1140">
        <f t="shared" si="215"/>
        <v>2464.8450666750009</v>
      </c>
      <c r="AM88" s="1141">
        <f t="shared" si="215"/>
        <v>2464.8450666750009</v>
      </c>
    </row>
    <row r="89" spans="2:39" ht="15.05" customHeight="1" x14ac:dyDescent="0.25">
      <c r="B89" s="1073" t="s">
        <v>849</v>
      </c>
      <c r="C89" s="1137">
        <f t="shared" si="214"/>
        <v>32385.818890482955</v>
      </c>
      <c r="D89" s="1140">
        <f t="shared" ref="D89:AM89" si="216">D37</f>
        <v>0</v>
      </c>
      <c r="E89" s="1140">
        <f t="shared" si="216"/>
        <v>0</v>
      </c>
      <c r="F89" s="1140">
        <f t="shared" si="216"/>
        <v>0</v>
      </c>
      <c r="G89" s="1140">
        <f t="shared" si="216"/>
        <v>0</v>
      </c>
      <c r="H89" s="1140">
        <f t="shared" si="216"/>
        <v>0</v>
      </c>
      <c r="I89" s="1140">
        <f t="shared" si="216"/>
        <v>0</v>
      </c>
      <c r="J89" s="1140">
        <f t="shared" si="216"/>
        <v>1079.5272963494322</v>
      </c>
      <c r="K89" s="1140">
        <f t="shared" si="216"/>
        <v>1079.5272963494322</v>
      </c>
      <c r="L89" s="1140">
        <f t="shared" si="216"/>
        <v>1079.5272963494322</v>
      </c>
      <c r="M89" s="1140">
        <f t="shared" si="216"/>
        <v>1079.5272963494322</v>
      </c>
      <c r="N89" s="1140">
        <f t="shared" si="216"/>
        <v>1079.5272963494322</v>
      </c>
      <c r="O89" s="1140">
        <f t="shared" si="216"/>
        <v>1079.5272963494322</v>
      </c>
      <c r="P89" s="1140">
        <f t="shared" si="216"/>
        <v>1079.5272963494322</v>
      </c>
      <c r="Q89" s="1140">
        <f t="shared" si="216"/>
        <v>1079.5272963494322</v>
      </c>
      <c r="R89" s="1140">
        <f t="shared" si="216"/>
        <v>1079.5272963494322</v>
      </c>
      <c r="S89" s="1140">
        <f t="shared" si="216"/>
        <v>1079.5272963494322</v>
      </c>
      <c r="T89" s="1140">
        <f t="shared" si="216"/>
        <v>1079.5272963494322</v>
      </c>
      <c r="U89" s="1140">
        <f t="shared" si="216"/>
        <v>1079.5272963494322</v>
      </c>
      <c r="V89" s="1140">
        <f t="shared" si="216"/>
        <v>1079.5272963494322</v>
      </c>
      <c r="W89" s="1140">
        <f t="shared" si="216"/>
        <v>1079.5272963494322</v>
      </c>
      <c r="X89" s="1140">
        <f t="shared" si="216"/>
        <v>1079.5272963494322</v>
      </c>
      <c r="Y89" s="1140">
        <f t="shared" si="216"/>
        <v>1079.5272963494322</v>
      </c>
      <c r="Z89" s="1140">
        <f t="shared" si="216"/>
        <v>1079.5272963494322</v>
      </c>
      <c r="AA89" s="1140">
        <f t="shared" si="216"/>
        <v>1079.5272963494322</v>
      </c>
      <c r="AB89" s="1140">
        <f t="shared" si="216"/>
        <v>1079.5272963494322</v>
      </c>
      <c r="AC89" s="1140">
        <f t="shared" si="216"/>
        <v>1079.5272963494322</v>
      </c>
      <c r="AD89" s="1140">
        <f t="shared" si="216"/>
        <v>1079.5272963494322</v>
      </c>
      <c r="AE89" s="1140">
        <f t="shared" si="216"/>
        <v>1079.5272963494322</v>
      </c>
      <c r="AF89" s="1140">
        <f t="shared" si="216"/>
        <v>1079.5272963494322</v>
      </c>
      <c r="AG89" s="1140">
        <f t="shared" si="216"/>
        <v>1079.5272963494322</v>
      </c>
      <c r="AH89" s="1140">
        <f t="shared" si="216"/>
        <v>1079.5272963494322</v>
      </c>
      <c r="AI89" s="1140">
        <f t="shared" si="216"/>
        <v>1079.5272963494322</v>
      </c>
      <c r="AJ89" s="1140">
        <f t="shared" si="216"/>
        <v>1079.5272963494322</v>
      </c>
      <c r="AK89" s="1140">
        <f t="shared" si="216"/>
        <v>1079.5272963494322</v>
      </c>
      <c r="AL89" s="1140">
        <f t="shared" si="216"/>
        <v>1079.5272963494322</v>
      </c>
      <c r="AM89" s="1141">
        <f t="shared" si="216"/>
        <v>1079.5272963494322</v>
      </c>
    </row>
    <row r="90" spans="2:39" ht="15.05" customHeight="1" x14ac:dyDescent="0.25">
      <c r="B90" s="1073" t="s">
        <v>814</v>
      </c>
      <c r="C90" s="1137">
        <f t="shared" si="214"/>
        <v>141.10498591357992</v>
      </c>
      <c r="D90" s="1140">
        <f t="shared" ref="D90:AM90" si="217">D38</f>
        <v>0</v>
      </c>
      <c r="E90" s="1140">
        <f t="shared" si="217"/>
        <v>0</v>
      </c>
      <c r="F90" s="1140">
        <f t="shared" si="217"/>
        <v>0</v>
      </c>
      <c r="G90" s="1140">
        <f t="shared" si="217"/>
        <v>0</v>
      </c>
      <c r="H90" s="1140">
        <f t="shared" si="217"/>
        <v>0</v>
      </c>
      <c r="I90" s="1140">
        <f t="shared" si="217"/>
        <v>0</v>
      </c>
      <c r="J90" s="1140">
        <f t="shared" si="217"/>
        <v>4.7034995304526674</v>
      </c>
      <c r="K90" s="1140">
        <f t="shared" si="217"/>
        <v>4.7034995304526674</v>
      </c>
      <c r="L90" s="1140">
        <f t="shared" si="217"/>
        <v>4.7034995304526674</v>
      </c>
      <c r="M90" s="1140">
        <f t="shared" si="217"/>
        <v>4.7034995304526674</v>
      </c>
      <c r="N90" s="1140">
        <f t="shared" si="217"/>
        <v>4.7034995304526674</v>
      </c>
      <c r="O90" s="1140">
        <f t="shared" si="217"/>
        <v>4.7034995304526674</v>
      </c>
      <c r="P90" s="1140">
        <f t="shared" si="217"/>
        <v>4.7034995304526674</v>
      </c>
      <c r="Q90" s="1140">
        <f t="shared" si="217"/>
        <v>4.7034995304526674</v>
      </c>
      <c r="R90" s="1140">
        <f t="shared" si="217"/>
        <v>4.7034995304526674</v>
      </c>
      <c r="S90" s="1140">
        <f t="shared" si="217"/>
        <v>4.7034995304526674</v>
      </c>
      <c r="T90" s="1140">
        <f t="shared" si="217"/>
        <v>4.7034995304526674</v>
      </c>
      <c r="U90" s="1140">
        <f t="shared" si="217"/>
        <v>4.7034995304526674</v>
      </c>
      <c r="V90" s="1140">
        <f t="shared" si="217"/>
        <v>4.7034995304526674</v>
      </c>
      <c r="W90" s="1140">
        <f t="shared" si="217"/>
        <v>4.7034995304526674</v>
      </c>
      <c r="X90" s="1140">
        <f t="shared" si="217"/>
        <v>4.7034995304526674</v>
      </c>
      <c r="Y90" s="1140">
        <f t="shared" si="217"/>
        <v>4.7034995304526674</v>
      </c>
      <c r="Z90" s="1140">
        <f t="shared" si="217"/>
        <v>4.7034995304526674</v>
      </c>
      <c r="AA90" s="1140">
        <f t="shared" si="217"/>
        <v>4.7034995304526674</v>
      </c>
      <c r="AB90" s="1140">
        <f t="shared" si="217"/>
        <v>4.7034995304526674</v>
      </c>
      <c r="AC90" s="1140">
        <f t="shared" si="217"/>
        <v>4.7034995304526674</v>
      </c>
      <c r="AD90" s="1140">
        <f t="shared" si="217"/>
        <v>4.7034995304526674</v>
      </c>
      <c r="AE90" s="1140">
        <f t="shared" si="217"/>
        <v>4.7034995304526674</v>
      </c>
      <c r="AF90" s="1140">
        <f t="shared" si="217"/>
        <v>4.7034995304526674</v>
      </c>
      <c r="AG90" s="1140">
        <f t="shared" si="217"/>
        <v>4.7034995304526674</v>
      </c>
      <c r="AH90" s="1140">
        <f t="shared" si="217"/>
        <v>4.7034995304526674</v>
      </c>
      <c r="AI90" s="1140">
        <f t="shared" si="217"/>
        <v>4.7034995304526674</v>
      </c>
      <c r="AJ90" s="1140">
        <f t="shared" si="217"/>
        <v>4.7034995304526674</v>
      </c>
      <c r="AK90" s="1140">
        <f t="shared" si="217"/>
        <v>4.7034995304526674</v>
      </c>
      <c r="AL90" s="1140">
        <f t="shared" si="217"/>
        <v>4.7034995304526674</v>
      </c>
      <c r="AM90" s="1141">
        <f t="shared" si="217"/>
        <v>4.7034995304526674</v>
      </c>
    </row>
    <row r="91" spans="2:39" ht="15.05" customHeight="1" x14ac:dyDescent="0.25">
      <c r="B91" s="1073" t="s">
        <v>850</v>
      </c>
      <c r="C91" s="1137">
        <f t="shared" si="214"/>
        <v>106344.00000000013</v>
      </c>
      <c r="D91" s="1140">
        <f t="shared" ref="D91:AM91" si="218">D39</f>
        <v>0</v>
      </c>
      <c r="E91" s="1140">
        <f t="shared" si="218"/>
        <v>0</v>
      </c>
      <c r="F91" s="1140">
        <f t="shared" si="218"/>
        <v>0</v>
      </c>
      <c r="G91" s="1140">
        <f t="shared" si="218"/>
        <v>0</v>
      </c>
      <c r="H91" s="1140">
        <f t="shared" si="218"/>
        <v>0</v>
      </c>
      <c r="I91" s="1140">
        <f t="shared" si="218"/>
        <v>0</v>
      </c>
      <c r="J91" s="1140">
        <f t="shared" si="218"/>
        <v>3544.8000000000065</v>
      </c>
      <c r="K91" s="1140">
        <f t="shared" si="218"/>
        <v>3544.8000000000065</v>
      </c>
      <c r="L91" s="1140">
        <f t="shared" si="218"/>
        <v>3544.8000000000065</v>
      </c>
      <c r="M91" s="1140">
        <f t="shared" si="218"/>
        <v>3544.8000000000065</v>
      </c>
      <c r="N91" s="1140">
        <f t="shared" si="218"/>
        <v>3544.8000000000065</v>
      </c>
      <c r="O91" s="1140">
        <f t="shared" si="218"/>
        <v>3544.8000000000065</v>
      </c>
      <c r="P91" s="1140">
        <f t="shared" si="218"/>
        <v>3544.8000000000065</v>
      </c>
      <c r="Q91" s="1140">
        <f t="shared" si="218"/>
        <v>3544.8000000000065</v>
      </c>
      <c r="R91" s="1140">
        <f t="shared" si="218"/>
        <v>3544.8000000000065</v>
      </c>
      <c r="S91" s="1140">
        <f t="shared" si="218"/>
        <v>3544.8000000000065</v>
      </c>
      <c r="T91" s="1140">
        <f t="shared" si="218"/>
        <v>3544.8000000000065</v>
      </c>
      <c r="U91" s="1140">
        <f t="shared" si="218"/>
        <v>3544.8000000000065</v>
      </c>
      <c r="V91" s="1140">
        <f t="shared" si="218"/>
        <v>3544.8000000000065</v>
      </c>
      <c r="W91" s="1140">
        <f t="shared" si="218"/>
        <v>3544.8000000000065</v>
      </c>
      <c r="X91" s="1140">
        <f t="shared" si="218"/>
        <v>3544.8000000000065</v>
      </c>
      <c r="Y91" s="1140">
        <f t="shared" si="218"/>
        <v>3544.8000000000065</v>
      </c>
      <c r="Z91" s="1140">
        <f t="shared" si="218"/>
        <v>3544.8000000000065</v>
      </c>
      <c r="AA91" s="1140">
        <f t="shared" si="218"/>
        <v>3544.8000000000065</v>
      </c>
      <c r="AB91" s="1140">
        <f t="shared" si="218"/>
        <v>3544.8000000000065</v>
      </c>
      <c r="AC91" s="1140">
        <f t="shared" si="218"/>
        <v>3544.8000000000065</v>
      </c>
      <c r="AD91" s="1140">
        <f t="shared" si="218"/>
        <v>3544.8000000000065</v>
      </c>
      <c r="AE91" s="1140">
        <f t="shared" si="218"/>
        <v>3544.8000000000065</v>
      </c>
      <c r="AF91" s="1140">
        <f t="shared" si="218"/>
        <v>3544.8000000000065</v>
      </c>
      <c r="AG91" s="1140">
        <f t="shared" si="218"/>
        <v>3544.8000000000065</v>
      </c>
      <c r="AH91" s="1140">
        <f t="shared" si="218"/>
        <v>3544.8000000000065</v>
      </c>
      <c r="AI91" s="1140">
        <f t="shared" si="218"/>
        <v>3544.8000000000065</v>
      </c>
      <c r="AJ91" s="1140">
        <f t="shared" si="218"/>
        <v>3544.8000000000065</v>
      </c>
      <c r="AK91" s="1140">
        <f t="shared" si="218"/>
        <v>3544.8000000000065</v>
      </c>
      <c r="AL91" s="1140">
        <f t="shared" si="218"/>
        <v>3544.8000000000065</v>
      </c>
      <c r="AM91" s="1141">
        <f t="shared" si="218"/>
        <v>3544.8000000000065</v>
      </c>
    </row>
    <row r="92" spans="2:39" ht="15.05" customHeight="1" x14ac:dyDescent="0.25">
      <c r="B92" s="667" t="s">
        <v>575</v>
      </c>
      <c r="C92" s="1137">
        <f t="shared" si="214"/>
        <v>9998819.0253761541</v>
      </c>
      <c r="D92" s="1140">
        <f>'Residual Value '!F13</f>
        <v>0</v>
      </c>
      <c r="E92" s="1140">
        <f>'Residual Value '!G13</f>
        <v>0</v>
      </c>
      <c r="F92" s="1140">
        <f>'Residual Value '!H13</f>
        <v>0</v>
      </c>
      <c r="G92" s="1140">
        <f>'Residual Value '!I13</f>
        <v>0</v>
      </c>
      <c r="H92" s="1140">
        <f>'Residual Value '!J13</f>
        <v>0</v>
      </c>
      <c r="I92" s="1140">
        <f>'Residual Value '!K13</f>
        <v>0</v>
      </c>
      <c r="J92" s="1140">
        <f>'Residual Value '!L13</f>
        <v>0</v>
      </c>
      <c r="K92" s="1140">
        <f>'Residual Value '!M13</f>
        <v>0</v>
      </c>
      <c r="L92" s="1140">
        <f>'Residual Value '!N13</f>
        <v>0</v>
      </c>
      <c r="M92" s="1140">
        <f>'Residual Value '!O13</f>
        <v>0</v>
      </c>
      <c r="N92" s="1140">
        <f>'Residual Value '!P13</f>
        <v>0</v>
      </c>
      <c r="O92" s="1140">
        <f>'Residual Value '!Q13</f>
        <v>0</v>
      </c>
      <c r="P92" s="1140">
        <f>'Residual Value '!R13</f>
        <v>0</v>
      </c>
      <c r="Q92" s="1140">
        <f>'Residual Value '!S13</f>
        <v>0</v>
      </c>
      <c r="R92" s="1140">
        <f>'Residual Value '!T13</f>
        <v>0</v>
      </c>
      <c r="S92" s="1140">
        <f>'Residual Value '!U13</f>
        <v>0</v>
      </c>
      <c r="T92" s="1140">
        <f>'Residual Value '!V13</f>
        <v>0</v>
      </c>
      <c r="U92" s="1140">
        <f>'Residual Value '!W13</f>
        <v>0</v>
      </c>
      <c r="V92" s="1140">
        <f>'Residual Value '!X13</f>
        <v>0</v>
      </c>
      <c r="W92" s="1140">
        <f>'Residual Value '!Y13</f>
        <v>0</v>
      </c>
      <c r="X92" s="1140">
        <f>'Residual Value '!Z13</f>
        <v>0</v>
      </c>
      <c r="Y92" s="1140">
        <f>'Residual Value '!AA13</f>
        <v>0</v>
      </c>
      <c r="Z92" s="1140">
        <f>'Residual Value '!AB13</f>
        <v>0</v>
      </c>
      <c r="AA92" s="1140">
        <f>'Residual Value '!AC13</f>
        <v>0</v>
      </c>
      <c r="AB92" s="1140">
        <f>'Residual Value '!AD13</f>
        <v>0</v>
      </c>
      <c r="AC92" s="1140">
        <f>'Residual Value '!AE13</f>
        <v>0</v>
      </c>
      <c r="AD92" s="1140">
        <f>'Residual Value '!AF13</f>
        <v>0</v>
      </c>
      <c r="AE92" s="1140">
        <f>'Residual Value '!AG13</f>
        <v>0</v>
      </c>
      <c r="AF92" s="1140">
        <f>'Residual Value '!AH13</f>
        <v>0</v>
      </c>
      <c r="AG92" s="1140">
        <f>'Residual Value '!AI13</f>
        <v>0</v>
      </c>
      <c r="AH92" s="1140">
        <f>'Residual Value '!AJ13</f>
        <v>0</v>
      </c>
      <c r="AI92" s="1140">
        <f>'Residual Value '!AK13</f>
        <v>0</v>
      </c>
      <c r="AJ92" s="1140">
        <f>'Residual Value '!AL13</f>
        <v>0</v>
      </c>
      <c r="AK92" s="1140">
        <f>'Residual Value '!AM13</f>
        <v>0</v>
      </c>
      <c r="AL92" s="1140">
        <f>'Residual Value '!AN13</f>
        <v>0</v>
      </c>
      <c r="AM92" s="1141">
        <f>'Residual Value '!AO13</f>
        <v>9998819.0253761541</v>
      </c>
    </row>
    <row r="93" spans="2:39" ht="15.05" customHeight="1" x14ac:dyDescent="0.25">
      <c r="B93" s="668" t="s">
        <v>568</v>
      </c>
      <c r="C93" s="1144">
        <f>SUM(D93:AM93)</f>
        <v>10211635.301252801</v>
      </c>
      <c r="D93" s="1144">
        <f t="shared" ref="D93:AK93" si="219">SUM(D88:D92)</f>
        <v>0</v>
      </c>
      <c r="E93" s="1144">
        <f t="shared" si="219"/>
        <v>0</v>
      </c>
      <c r="F93" s="1144">
        <f t="shared" si="219"/>
        <v>0</v>
      </c>
      <c r="G93" s="1144">
        <f t="shared" si="219"/>
        <v>0</v>
      </c>
      <c r="H93" s="1144">
        <f t="shared" si="219"/>
        <v>0</v>
      </c>
      <c r="I93" s="1144">
        <f t="shared" si="219"/>
        <v>0</v>
      </c>
      <c r="J93" s="1144">
        <f t="shared" si="219"/>
        <v>7093.8758625548926</v>
      </c>
      <c r="K93" s="1144">
        <f t="shared" si="219"/>
        <v>7093.8758625548926</v>
      </c>
      <c r="L93" s="1144">
        <f t="shared" si="219"/>
        <v>7093.8758625548926</v>
      </c>
      <c r="M93" s="1144">
        <f t="shared" si="219"/>
        <v>7093.8758625548926</v>
      </c>
      <c r="N93" s="1144">
        <f t="shared" si="219"/>
        <v>7093.8758625548926</v>
      </c>
      <c r="O93" s="1144">
        <f t="shared" si="219"/>
        <v>7093.8758625548926</v>
      </c>
      <c r="P93" s="1144">
        <f t="shared" si="219"/>
        <v>7093.8758625548926</v>
      </c>
      <c r="Q93" s="1144">
        <f t="shared" si="219"/>
        <v>7093.8758625548926</v>
      </c>
      <c r="R93" s="1144">
        <f t="shared" si="219"/>
        <v>7093.8758625548926</v>
      </c>
      <c r="S93" s="1144">
        <f t="shared" si="219"/>
        <v>7093.8758625548926</v>
      </c>
      <c r="T93" s="1144">
        <f t="shared" si="219"/>
        <v>7093.8758625548926</v>
      </c>
      <c r="U93" s="1144">
        <f t="shared" si="219"/>
        <v>7093.8758625548926</v>
      </c>
      <c r="V93" s="1144">
        <f t="shared" si="219"/>
        <v>7093.8758625548926</v>
      </c>
      <c r="W93" s="1144">
        <f t="shared" si="219"/>
        <v>7093.8758625548926</v>
      </c>
      <c r="X93" s="1144">
        <f t="shared" si="219"/>
        <v>7093.8758625548926</v>
      </c>
      <c r="Y93" s="1144">
        <f t="shared" si="219"/>
        <v>7093.8758625548926</v>
      </c>
      <c r="Z93" s="1144">
        <f t="shared" si="219"/>
        <v>7093.8758625548926</v>
      </c>
      <c r="AA93" s="1144">
        <f t="shared" si="219"/>
        <v>7093.8758625548926</v>
      </c>
      <c r="AB93" s="1144">
        <f t="shared" si="219"/>
        <v>7093.8758625548926</v>
      </c>
      <c r="AC93" s="1144">
        <f t="shared" si="219"/>
        <v>7093.8758625548926</v>
      </c>
      <c r="AD93" s="1144">
        <f t="shared" si="219"/>
        <v>7093.8758625548926</v>
      </c>
      <c r="AE93" s="1144">
        <f t="shared" si="219"/>
        <v>7093.8758625548926</v>
      </c>
      <c r="AF93" s="1144">
        <f t="shared" si="219"/>
        <v>7093.8758625548926</v>
      </c>
      <c r="AG93" s="1144">
        <f t="shared" si="219"/>
        <v>7093.8758625548926</v>
      </c>
      <c r="AH93" s="1144">
        <f t="shared" si="219"/>
        <v>7093.8758625548926</v>
      </c>
      <c r="AI93" s="1144">
        <f t="shared" si="219"/>
        <v>7093.8758625548926</v>
      </c>
      <c r="AJ93" s="1144">
        <f t="shared" si="219"/>
        <v>7093.8758625548926</v>
      </c>
      <c r="AK93" s="1145">
        <f t="shared" si="219"/>
        <v>7093.8758625548926</v>
      </c>
      <c r="AL93" s="1145">
        <f t="shared" ref="AL93:AM93" si="220">SUM(AL88:AL92)</f>
        <v>7093.8758625548926</v>
      </c>
      <c r="AM93" s="1145">
        <f t="shared" si="220"/>
        <v>10005912.90123871</v>
      </c>
    </row>
    <row r="94" spans="2:39" ht="15.05" customHeight="1" x14ac:dyDescent="0.25">
      <c r="B94" s="667" t="s">
        <v>569</v>
      </c>
      <c r="C94" s="1137">
        <f t="shared" ref="C94:C95" si="221">SUM(D94:AM94)</f>
        <v>24997047.563440382</v>
      </c>
      <c r="D94" s="1140">
        <f>'Project Costs'!D14</f>
        <v>0</v>
      </c>
      <c r="E94" s="1140">
        <f>'Project Costs'!E14</f>
        <v>2521036.6045362679</v>
      </c>
      <c r="F94" s="1140">
        <f>'Project Costs'!F14</f>
        <v>16857008.219178084</v>
      </c>
      <c r="G94" s="1140">
        <f>'Project Costs'!G14</f>
        <v>0</v>
      </c>
      <c r="H94" s="1140">
        <f>'Project Costs'!H14</f>
        <v>0</v>
      </c>
      <c r="I94" s="1140">
        <f>'Project Costs'!I14</f>
        <v>5619002.7397260275</v>
      </c>
      <c r="J94" s="1140">
        <f>'Project Costs'!J14</f>
        <v>0</v>
      </c>
      <c r="K94" s="1140">
        <f>'Project Costs'!K14</f>
        <v>0</v>
      </c>
      <c r="L94" s="1140">
        <f>'Project Costs'!L14</f>
        <v>0</v>
      </c>
      <c r="M94" s="1140">
        <f>'Project Costs'!M14</f>
        <v>0</v>
      </c>
      <c r="N94" s="1140">
        <f>'Project Costs'!N14</f>
        <v>0</v>
      </c>
      <c r="O94" s="1140">
        <f>'Project Costs'!O14</f>
        <v>0</v>
      </c>
      <c r="P94" s="1140">
        <f>'Project Costs'!P14</f>
        <v>0</v>
      </c>
      <c r="Q94" s="1140">
        <f>'Project Costs'!Q14</f>
        <v>0</v>
      </c>
      <c r="R94" s="1140">
        <f>'Project Costs'!R14</f>
        <v>0</v>
      </c>
      <c r="S94" s="1140">
        <f>'Project Costs'!S14</f>
        <v>0</v>
      </c>
      <c r="T94" s="1140">
        <f>'Project Costs'!T14</f>
        <v>0</v>
      </c>
      <c r="U94" s="1140">
        <f>'Project Costs'!U14</f>
        <v>0</v>
      </c>
      <c r="V94" s="1140">
        <f>'Project Costs'!V14</f>
        <v>0</v>
      </c>
      <c r="W94" s="1140">
        <f>'Project Costs'!W14</f>
        <v>0</v>
      </c>
      <c r="X94" s="1140">
        <f>'Project Costs'!X14</f>
        <v>0</v>
      </c>
      <c r="Y94" s="1140">
        <f>'Project Costs'!Y14</f>
        <v>0</v>
      </c>
      <c r="Z94" s="1140">
        <f>'Project Costs'!Z14</f>
        <v>0</v>
      </c>
      <c r="AA94" s="1140">
        <f>'Project Costs'!AA14</f>
        <v>0</v>
      </c>
      <c r="AB94" s="1140">
        <f>'Project Costs'!AB14</f>
        <v>0</v>
      </c>
      <c r="AC94" s="1140">
        <f>'Project Costs'!AC14</f>
        <v>0</v>
      </c>
      <c r="AD94" s="1140">
        <f>'Project Costs'!AD14</f>
        <v>0</v>
      </c>
      <c r="AE94" s="1140">
        <f>'Project Costs'!AE14</f>
        <v>0</v>
      </c>
      <c r="AF94" s="1140">
        <f>'Project Costs'!AF14</f>
        <v>0</v>
      </c>
      <c r="AG94" s="1140">
        <f>'Project Costs'!AG14</f>
        <v>0</v>
      </c>
      <c r="AH94" s="1140">
        <f>'Project Costs'!AH14</f>
        <v>0</v>
      </c>
      <c r="AI94" s="1140">
        <f>'Project Costs'!AI14</f>
        <v>0</v>
      </c>
      <c r="AJ94" s="1140">
        <f>'Project Costs'!AJ14</f>
        <v>0</v>
      </c>
      <c r="AK94" s="1140">
        <f>'Project Costs'!AK14</f>
        <v>0</v>
      </c>
      <c r="AL94" s="1140">
        <f>'Project Costs'!AL14</f>
        <v>0</v>
      </c>
      <c r="AM94" s="1140">
        <f>'Project Costs'!AM14</f>
        <v>0</v>
      </c>
    </row>
    <row r="95" spans="2:39" ht="15.05" customHeight="1" x14ac:dyDescent="0.25">
      <c r="B95" s="667" t="s">
        <v>583</v>
      </c>
      <c r="C95" s="1137">
        <f t="shared" si="221"/>
        <v>0</v>
      </c>
      <c r="D95" s="1140">
        <v>0</v>
      </c>
      <c r="E95" s="1140">
        <v>0</v>
      </c>
      <c r="F95" s="1140">
        <v>0</v>
      </c>
      <c r="G95" s="1140">
        <v>0</v>
      </c>
      <c r="H95" s="1140">
        <v>0</v>
      </c>
      <c r="I95" s="1140">
        <v>0</v>
      </c>
      <c r="J95" s="1140">
        <v>0</v>
      </c>
      <c r="K95" s="1140">
        <v>0</v>
      </c>
      <c r="L95" s="1140">
        <v>0</v>
      </c>
      <c r="M95" s="1140">
        <v>0</v>
      </c>
      <c r="N95" s="1140">
        <v>0</v>
      </c>
      <c r="O95" s="1140">
        <v>0</v>
      </c>
      <c r="P95" s="1140">
        <v>0</v>
      </c>
      <c r="Q95" s="1140">
        <v>0</v>
      </c>
      <c r="R95" s="1140">
        <v>0</v>
      </c>
      <c r="S95" s="1140">
        <v>0</v>
      </c>
      <c r="T95" s="1140">
        <v>0</v>
      </c>
      <c r="U95" s="1140">
        <v>0</v>
      </c>
      <c r="V95" s="1140">
        <v>0</v>
      </c>
      <c r="W95" s="1140">
        <v>0</v>
      </c>
      <c r="X95" s="1140">
        <v>0</v>
      </c>
      <c r="Y95" s="1140">
        <v>0</v>
      </c>
      <c r="Z95" s="1140">
        <v>0</v>
      </c>
      <c r="AA95" s="1140">
        <v>0</v>
      </c>
      <c r="AB95" s="1140">
        <v>0</v>
      </c>
      <c r="AC95" s="1140">
        <v>0</v>
      </c>
      <c r="AD95" s="1140">
        <v>0</v>
      </c>
      <c r="AE95" s="1140">
        <v>0</v>
      </c>
      <c r="AF95" s="1140">
        <v>0</v>
      </c>
      <c r="AG95" s="1140">
        <v>0</v>
      </c>
      <c r="AH95" s="1140">
        <v>0</v>
      </c>
      <c r="AI95" s="1140">
        <v>0</v>
      </c>
      <c r="AJ95" s="1140">
        <v>0</v>
      </c>
      <c r="AK95" s="1140">
        <v>0</v>
      </c>
      <c r="AL95" s="1140">
        <v>0</v>
      </c>
      <c r="AM95" s="1140">
        <v>0</v>
      </c>
    </row>
    <row r="96" spans="2:39" ht="15.05" customHeight="1" x14ac:dyDescent="0.25">
      <c r="B96" s="668" t="s">
        <v>570</v>
      </c>
      <c r="C96" s="1144">
        <f>SUM(D96:AM96)</f>
        <v>24997047.563440382</v>
      </c>
      <c r="D96" s="1144">
        <f>SUM(D94:D95)</f>
        <v>0</v>
      </c>
      <c r="E96" s="1144">
        <f t="shared" ref="E96:AK96" si="222">SUM(E94:E95)</f>
        <v>2521036.6045362679</v>
      </c>
      <c r="F96" s="1144">
        <f t="shared" si="222"/>
        <v>16857008.219178084</v>
      </c>
      <c r="G96" s="1144">
        <f t="shared" si="222"/>
        <v>0</v>
      </c>
      <c r="H96" s="1144">
        <f t="shared" si="222"/>
        <v>0</v>
      </c>
      <c r="I96" s="1144">
        <f t="shared" si="222"/>
        <v>5619002.7397260275</v>
      </c>
      <c r="J96" s="1144">
        <f t="shared" si="222"/>
        <v>0</v>
      </c>
      <c r="K96" s="1144">
        <f t="shared" si="222"/>
        <v>0</v>
      </c>
      <c r="L96" s="1144">
        <f t="shared" si="222"/>
        <v>0</v>
      </c>
      <c r="M96" s="1144">
        <f t="shared" si="222"/>
        <v>0</v>
      </c>
      <c r="N96" s="1144">
        <f t="shared" si="222"/>
        <v>0</v>
      </c>
      <c r="O96" s="1144">
        <f t="shared" si="222"/>
        <v>0</v>
      </c>
      <c r="P96" s="1144">
        <f t="shared" si="222"/>
        <v>0</v>
      </c>
      <c r="Q96" s="1144">
        <f t="shared" si="222"/>
        <v>0</v>
      </c>
      <c r="R96" s="1144">
        <f t="shared" si="222"/>
        <v>0</v>
      </c>
      <c r="S96" s="1144">
        <f t="shared" si="222"/>
        <v>0</v>
      </c>
      <c r="T96" s="1144">
        <f t="shared" si="222"/>
        <v>0</v>
      </c>
      <c r="U96" s="1144">
        <f t="shared" si="222"/>
        <v>0</v>
      </c>
      <c r="V96" s="1144">
        <f t="shared" si="222"/>
        <v>0</v>
      </c>
      <c r="W96" s="1144">
        <f t="shared" si="222"/>
        <v>0</v>
      </c>
      <c r="X96" s="1144">
        <f t="shared" si="222"/>
        <v>0</v>
      </c>
      <c r="Y96" s="1144">
        <f t="shared" si="222"/>
        <v>0</v>
      </c>
      <c r="Z96" s="1144">
        <f t="shared" si="222"/>
        <v>0</v>
      </c>
      <c r="AA96" s="1144">
        <f t="shared" si="222"/>
        <v>0</v>
      </c>
      <c r="AB96" s="1144">
        <f t="shared" si="222"/>
        <v>0</v>
      </c>
      <c r="AC96" s="1144">
        <f t="shared" si="222"/>
        <v>0</v>
      </c>
      <c r="AD96" s="1144">
        <f t="shared" si="222"/>
        <v>0</v>
      </c>
      <c r="AE96" s="1144">
        <f t="shared" si="222"/>
        <v>0</v>
      </c>
      <c r="AF96" s="1144">
        <f t="shared" si="222"/>
        <v>0</v>
      </c>
      <c r="AG96" s="1144">
        <f t="shared" si="222"/>
        <v>0</v>
      </c>
      <c r="AH96" s="1144">
        <f t="shared" si="222"/>
        <v>0</v>
      </c>
      <c r="AI96" s="1144">
        <f t="shared" si="222"/>
        <v>0</v>
      </c>
      <c r="AJ96" s="1144">
        <f t="shared" si="222"/>
        <v>0</v>
      </c>
      <c r="AK96" s="1145">
        <f t="shared" si="222"/>
        <v>0</v>
      </c>
      <c r="AL96" s="1145">
        <f t="shared" ref="AL96:AM96" si="223">SUM(AL94:AL95)</f>
        <v>0</v>
      </c>
      <c r="AM96" s="1145">
        <f t="shared" si="223"/>
        <v>0</v>
      </c>
    </row>
    <row r="97" spans="2:39" ht="15.05" customHeight="1" x14ac:dyDescent="0.25">
      <c r="B97" s="726" t="s">
        <v>612</v>
      </c>
      <c r="C97" s="1146">
        <f>SUM(D97:AM97)</f>
        <v>-14785412.262187615</v>
      </c>
      <c r="D97" s="1146">
        <f>D93-D96</f>
        <v>0</v>
      </c>
      <c r="E97" s="1146">
        <f t="shared" ref="E97:Y97" si="224">E93-E96</f>
        <v>-2521036.6045362679</v>
      </c>
      <c r="F97" s="1146">
        <f t="shared" si="224"/>
        <v>-16857008.219178084</v>
      </c>
      <c r="G97" s="1146">
        <f t="shared" si="224"/>
        <v>0</v>
      </c>
      <c r="H97" s="1146">
        <f t="shared" si="224"/>
        <v>0</v>
      </c>
      <c r="I97" s="1146">
        <f t="shared" si="224"/>
        <v>-5619002.7397260275</v>
      </c>
      <c r="J97" s="1146">
        <f t="shared" si="224"/>
        <v>7093.8758625548926</v>
      </c>
      <c r="K97" s="1146">
        <f t="shared" si="224"/>
        <v>7093.8758625548926</v>
      </c>
      <c r="L97" s="1146">
        <f t="shared" si="224"/>
        <v>7093.8758625548926</v>
      </c>
      <c r="M97" s="1146">
        <f t="shared" si="224"/>
        <v>7093.8758625548926</v>
      </c>
      <c r="N97" s="1146">
        <f t="shared" si="224"/>
        <v>7093.8758625548926</v>
      </c>
      <c r="O97" s="1146">
        <f t="shared" si="224"/>
        <v>7093.8758625548926</v>
      </c>
      <c r="P97" s="1146">
        <f t="shared" si="224"/>
        <v>7093.8758625548926</v>
      </c>
      <c r="Q97" s="1146">
        <f t="shared" si="224"/>
        <v>7093.8758625548926</v>
      </c>
      <c r="R97" s="1146">
        <f t="shared" si="224"/>
        <v>7093.8758625548926</v>
      </c>
      <c r="S97" s="1146">
        <f t="shared" si="224"/>
        <v>7093.8758625548926</v>
      </c>
      <c r="T97" s="1146">
        <f t="shared" si="224"/>
        <v>7093.8758625548926</v>
      </c>
      <c r="U97" s="1146">
        <f t="shared" si="224"/>
        <v>7093.8758625548926</v>
      </c>
      <c r="V97" s="1146">
        <f t="shared" si="224"/>
        <v>7093.8758625548926</v>
      </c>
      <c r="W97" s="1146">
        <f t="shared" si="224"/>
        <v>7093.8758625548926</v>
      </c>
      <c r="X97" s="1146">
        <f t="shared" si="224"/>
        <v>7093.8758625548926</v>
      </c>
      <c r="Y97" s="1146">
        <f t="shared" si="224"/>
        <v>7093.8758625548926</v>
      </c>
      <c r="Z97" s="1146">
        <f>Z93-Z96</f>
        <v>7093.8758625548926</v>
      </c>
      <c r="AA97" s="1146">
        <f t="shared" ref="AA97:AK97" si="225">AA93-AA96</f>
        <v>7093.8758625548926</v>
      </c>
      <c r="AB97" s="1146">
        <f t="shared" si="225"/>
        <v>7093.8758625548926</v>
      </c>
      <c r="AC97" s="1146">
        <f t="shared" si="225"/>
        <v>7093.8758625548926</v>
      </c>
      <c r="AD97" s="1146">
        <f t="shared" si="225"/>
        <v>7093.8758625548926</v>
      </c>
      <c r="AE97" s="1146">
        <f t="shared" si="225"/>
        <v>7093.8758625548926</v>
      </c>
      <c r="AF97" s="1146">
        <f t="shared" si="225"/>
        <v>7093.8758625548926</v>
      </c>
      <c r="AG97" s="1146">
        <f t="shared" si="225"/>
        <v>7093.8758625548926</v>
      </c>
      <c r="AH97" s="1146">
        <f t="shared" si="225"/>
        <v>7093.8758625548926</v>
      </c>
      <c r="AI97" s="1146">
        <f t="shared" si="225"/>
        <v>7093.8758625548926</v>
      </c>
      <c r="AJ97" s="1146">
        <f t="shared" si="225"/>
        <v>7093.8758625548926</v>
      </c>
      <c r="AK97" s="1147">
        <f t="shared" si="225"/>
        <v>7093.8758625548926</v>
      </c>
      <c r="AL97" s="1147">
        <f t="shared" ref="AL97:AM97" si="226">AL93-AL96</f>
        <v>7093.8758625548926</v>
      </c>
      <c r="AM97" s="1147">
        <f t="shared" si="226"/>
        <v>10005912.90123871</v>
      </c>
    </row>
    <row r="98" spans="2:39" ht="15.05" customHeight="1" x14ac:dyDescent="0.25">
      <c r="B98" s="727" t="s">
        <v>613</v>
      </c>
      <c r="C98" s="1148"/>
      <c r="D98" s="1148">
        <f>D97</f>
        <v>0</v>
      </c>
      <c r="E98" s="1148">
        <f>D98+E97</f>
        <v>-2521036.6045362679</v>
      </c>
      <c r="F98" s="1148">
        <f>E98+F97</f>
        <v>-19378044.823714353</v>
      </c>
      <c r="G98" s="1148">
        <f>F98+G97</f>
        <v>-19378044.823714353</v>
      </c>
      <c r="H98" s="1148">
        <f t="shared" ref="H98" si="227">G98+H97</f>
        <v>-19378044.823714353</v>
      </c>
      <c r="I98" s="1148">
        <f t="shared" ref="I98" si="228">H98+I97</f>
        <v>-24997047.563440382</v>
      </c>
      <c r="J98" s="1148">
        <f t="shared" ref="J98" si="229">I98+J97</f>
        <v>-24989953.687577829</v>
      </c>
      <c r="K98" s="1148">
        <f t="shared" ref="K98" si="230">J98+K97</f>
        <v>-24982859.811715275</v>
      </c>
      <c r="L98" s="1148">
        <f t="shared" ref="L98" si="231">K98+L97</f>
        <v>-24975765.935852721</v>
      </c>
      <c r="M98" s="1148">
        <f t="shared" ref="M98" si="232">L98+M97</f>
        <v>-24968672.059990168</v>
      </c>
      <c r="N98" s="1148">
        <f t="shared" ref="N98" si="233">M98+N97</f>
        <v>-24961578.184127614</v>
      </c>
      <c r="O98" s="1148">
        <f t="shared" ref="O98" si="234">N98+O97</f>
        <v>-24954484.30826506</v>
      </c>
      <c r="P98" s="1148">
        <f t="shared" ref="P98" si="235">O98+P97</f>
        <v>-24947390.432402506</v>
      </c>
      <c r="Q98" s="1148">
        <f t="shared" ref="Q98" si="236">P98+Q97</f>
        <v>-24940296.556539953</v>
      </c>
      <c r="R98" s="1148">
        <f t="shared" ref="R98" si="237">Q98+R97</f>
        <v>-24933202.680677399</v>
      </c>
      <c r="S98" s="1148">
        <f t="shared" ref="S98" si="238">R98+S97</f>
        <v>-24926108.804814845</v>
      </c>
      <c r="T98" s="1148">
        <f t="shared" ref="T98" si="239">S98+T97</f>
        <v>-24919014.928952292</v>
      </c>
      <c r="U98" s="1148">
        <f t="shared" ref="U98" si="240">T98+U97</f>
        <v>-24911921.053089738</v>
      </c>
      <c r="V98" s="1148">
        <f t="shared" ref="V98" si="241">U98+V97</f>
        <v>-24904827.177227184</v>
      </c>
      <c r="W98" s="1148">
        <f t="shared" ref="W98" si="242">V98+W97</f>
        <v>-24897733.30136463</v>
      </c>
      <c r="X98" s="1148">
        <f t="shared" ref="X98" si="243">W98+X97</f>
        <v>-24890639.425502077</v>
      </c>
      <c r="Y98" s="1148">
        <f t="shared" ref="Y98" si="244">X98+Y97</f>
        <v>-24883545.549639523</v>
      </c>
      <c r="Z98" s="1148">
        <f>Y98+Z97</f>
        <v>-24876451.673776969</v>
      </c>
      <c r="AA98" s="1148">
        <f>Z98+AA97</f>
        <v>-24869357.797914416</v>
      </c>
      <c r="AB98" s="1148">
        <f t="shared" ref="AB98" si="245">AA98+AB97</f>
        <v>-24862263.922051862</v>
      </c>
      <c r="AC98" s="1148">
        <f t="shared" ref="AC98" si="246">AB98+AC97</f>
        <v>-24855170.046189308</v>
      </c>
      <c r="AD98" s="1148">
        <f t="shared" ref="AD98" si="247">AC98+AD97</f>
        <v>-24848076.170326754</v>
      </c>
      <c r="AE98" s="1148">
        <f t="shared" ref="AE98" si="248">AD98+AE97</f>
        <v>-24840982.294464201</v>
      </c>
      <c r="AF98" s="1148">
        <f t="shared" ref="AF98" si="249">AE98+AF97</f>
        <v>-24833888.418601647</v>
      </c>
      <c r="AG98" s="1148">
        <f t="shared" ref="AG98" si="250">AF98+AG97</f>
        <v>-24826794.542739093</v>
      </c>
      <c r="AH98" s="1148">
        <f t="shared" ref="AH98" si="251">AG98+AH97</f>
        <v>-24819700.66687654</v>
      </c>
      <c r="AI98" s="1148">
        <f t="shared" ref="AI98" si="252">AH98+AI97</f>
        <v>-24812606.791013986</v>
      </c>
      <c r="AJ98" s="1148">
        <f t="shared" ref="AJ98" si="253">AI98+AJ97</f>
        <v>-24805512.915151432</v>
      </c>
      <c r="AK98" s="1149">
        <f t="shared" ref="AK98" si="254">AJ98+AK97</f>
        <v>-24798419.039288878</v>
      </c>
      <c r="AL98" s="1149">
        <f t="shared" ref="AL98" si="255">AK98+AL97</f>
        <v>-24791325.163426325</v>
      </c>
      <c r="AM98" s="1149">
        <f t="shared" ref="AM98" si="256">AL98+AM97</f>
        <v>-14785412.262187615</v>
      </c>
    </row>
    <row r="99" spans="2:39" ht="14.25" customHeight="1" x14ac:dyDescent="0.25"/>
    <row r="100" spans="2:39" ht="15.05" customHeight="1" x14ac:dyDescent="0.25">
      <c r="B100" s="725" t="s">
        <v>611</v>
      </c>
      <c r="C100" s="670" t="s">
        <v>393</v>
      </c>
      <c r="D100" s="670">
        <f t="shared" ref="D100:AK100" si="257">D87</f>
        <v>2019</v>
      </c>
      <c r="E100" s="670">
        <f t="shared" si="257"/>
        <v>2020</v>
      </c>
      <c r="F100" s="670">
        <f t="shared" si="257"/>
        <v>2021</v>
      </c>
      <c r="G100" s="670">
        <f t="shared" si="257"/>
        <v>2022</v>
      </c>
      <c r="H100" s="670">
        <f t="shared" si="257"/>
        <v>2023</v>
      </c>
      <c r="I100" s="670">
        <f t="shared" si="257"/>
        <v>2024</v>
      </c>
      <c r="J100" s="670">
        <f t="shared" si="257"/>
        <v>2025</v>
      </c>
      <c r="K100" s="670">
        <f t="shared" si="257"/>
        <v>2026</v>
      </c>
      <c r="L100" s="670">
        <f t="shared" si="257"/>
        <v>2027</v>
      </c>
      <c r="M100" s="670">
        <f t="shared" si="257"/>
        <v>2028</v>
      </c>
      <c r="N100" s="670">
        <f t="shared" si="257"/>
        <v>2029</v>
      </c>
      <c r="O100" s="670">
        <f t="shared" si="257"/>
        <v>2030</v>
      </c>
      <c r="P100" s="670">
        <f t="shared" si="257"/>
        <v>2031</v>
      </c>
      <c r="Q100" s="670">
        <f t="shared" si="257"/>
        <v>2032</v>
      </c>
      <c r="R100" s="670">
        <f t="shared" si="257"/>
        <v>2033</v>
      </c>
      <c r="S100" s="670">
        <f t="shared" si="257"/>
        <v>2034</v>
      </c>
      <c r="T100" s="670">
        <f t="shared" si="257"/>
        <v>2035</v>
      </c>
      <c r="U100" s="670">
        <f t="shared" si="257"/>
        <v>2036</v>
      </c>
      <c r="V100" s="670">
        <f t="shared" si="257"/>
        <v>2037</v>
      </c>
      <c r="W100" s="670">
        <f t="shared" si="257"/>
        <v>2038</v>
      </c>
      <c r="X100" s="670">
        <f t="shared" si="257"/>
        <v>2039</v>
      </c>
      <c r="Y100" s="670">
        <f t="shared" si="257"/>
        <v>2040</v>
      </c>
      <c r="Z100" s="670">
        <f t="shared" si="257"/>
        <v>2041</v>
      </c>
      <c r="AA100" s="670">
        <f t="shared" si="257"/>
        <v>2042</v>
      </c>
      <c r="AB100" s="670">
        <f t="shared" si="257"/>
        <v>2043</v>
      </c>
      <c r="AC100" s="670">
        <f t="shared" si="257"/>
        <v>2044</v>
      </c>
      <c r="AD100" s="670">
        <f t="shared" si="257"/>
        <v>2045</v>
      </c>
      <c r="AE100" s="670">
        <f t="shared" si="257"/>
        <v>2046</v>
      </c>
      <c r="AF100" s="670">
        <f t="shared" si="257"/>
        <v>2047</v>
      </c>
      <c r="AG100" s="670">
        <f t="shared" si="257"/>
        <v>2048</v>
      </c>
      <c r="AH100" s="670">
        <f t="shared" si="257"/>
        <v>2049</v>
      </c>
      <c r="AI100" s="670">
        <f t="shared" si="257"/>
        <v>2050</v>
      </c>
      <c r="AJ100" s="671">
        <f t="shared" si="257"/>
        <v>2051</v>
      </c>
      <c r="AK100" s="671">
        <f t="shared" si="257"/>
        <v>2052</v>
      </c>
      <c r="AL100" s="671">
        <f t="shared" ref="AL100:AM100" si="258">AL87</f>
        <v>2053</v>
      </c>
      <c r="AM100" s="671">
        <f t="shared" si="258"/>
        <v>2054</v>
      </c>
    </row>
    <row r="101" spans="2:39" ht="15.05" customHeight="1" x14ac:dyDescent="0.25">
      <c r="B101" s="1073" t="s">
        <v>1011</v>
      </c>
      <c r="C101" s="1137">
        <f t="shared" ref="C101:C105" si="259">SUM(D101:AM101)</f>
        <v>20380.985768460585</v>
      </c>
      <c r="D101" s="1140">
        <f t="shared" ref="D101:AM101" si="260">D88*D$168</f>
        <v>0</v>
      </c>
      <c r="E101" s="1140">
        <f t="shared" si="260"/>
        <v>0</v>
      </c>
      <c r="F101" s="1140">
        <f t="shared" si="260"/>
        <v>0</v>
      </c>
      <c r="G101" s="1140">
        <f t="shared" si="260"/>
        <v>0</v>
      </c>
      <c r="H101" s="1140">
        <f t="shared" si="260"/>
        <v>0</v>
      </c>
      <c r="I101" s="1140">
        <f t="shared" si="260"/>
        <v>0</v>
      </c>
      <c r="J101" s="1140">
        <f t="shared" si="260"/>
        <v>1534.9816290573644</v>
      </c>
      <c r="K101" s="1140">
        <f t="shared" si="260"/>
        <v>1434.5622701470697</v>
      </c>
      <c r="L101" s="1140">
        <f t="shared" si="260"/>
        <v>1340.7124020066071</v>
      </c>
      <c r="M101" s="1140">
        <f t="shared" si="260"/>
        <v>1253.0022448659879</v>
      </c>
      <c r="N101" s="1140">
        <f t="shared" si="260"/>
        <v>1171.0301353887737</v>
      </c>
      <c r="O101" s="1140">
        <f t="shared" si="260"/>
        <v>1094.4206872792279</v>
      </c>
      <c r="P101" s="1140">
        <f t="shared" si="260"/>
        <v>1022.8230722235774</v>
      </c>
      <c r="Q101" s="1140">
        <f t="shared" si="260"/>
        <v>955.90941329306304</v>
      </c>
      <c r="R101" s="1140">
        <f t="shared" si="260"/>
        <v>893.37328345146068</v>
      </c>
      <c r="S101" s="1140">
        <f t="shared" si="260"/>
        <v>834.92830229108495</v>
      </c>
      <c r="T101" s="1140">
        <f t="shared" si="260"/>
        <v>780.30682457110743</v>
      </c>
      <c r="U101" s="1140">
        <f t="shared" si="260"/>
        <v>729.25871455243669</v>
      </c>
      <c r="V101" s="1140">
        <f t="shared" si="260"/>
        <v>681.55020051629606</v>
      </c>
      <c r="W101" s="1140">
        <f t="shared" si="260"/>
        <v>636.96280422083748</v>
      </c>
      <c r="X101" s="1140">
        <f t="shared" si="260"/>
        <v>595.29234039330606</v>
      </c>
      <c r="Y101" s="1140">
        <f t="shared" si="260"/>
        <v>556.34798167598694</v>
      </c>
      <c r="Z101" s="1140">
        <f t="shared" si="260"/>
        <v>519.95138474391297</v>
      </c>
      <c r="AA101" s="1140">
        <f t="shared" si="260"/>
        <v>485.93587359244208</v>
      </c>
      <c r="AB101" s="1140">
        <f t="shared" si="260"/>
        <v>454.14567625461865</v>
      </c>
      <c r="AC101" s="1140">
        <f t="shared" si="260"/>
        <v>424.4352114529147</v>
      </c>
      <c r="AD101" s="1140">
        <f t="shared" si="260"/>
        <v>396.66842191861178</v>
      </c>
      <c r="AE101" s="1140">
        <f t="shared" si="260"/>
        <v>370.71815132580548</v>
      </c>
      <c r="AF101" s="1140">
        <f t="shared" si="260"/>
        <v>346.46556198673409</v>
      </c>
      <c r="AG101" s="1140">
        <f t="shared" si="260"/>
        <v>323.79959064180758</v>
      </c>
      <c r="AH101" s="1140">
        <f t="shared" si="260"/>
        <v>302.61643985215653</v>
      </c>
      <c r="AI101" s="1140">
        <f t="shared" si="260"/>
        <v>282.8191026655669</v>
      </c>
      <c r="AJ101" s="1140">
        <f t="shared" si="260"/>
        <v>264.31691837903446</v>
      </c>
      <c r="AK101" s="1140">
        <f t="shared" si="260"/>
        <v>247.02515736358365</v>
      </c>
      <c r="AL101" s="1140">
        <f t="shared" si="260"/>
        <v>230.86463305007814</v>
      </c>
      <c r="AM101" s="1141">
        <f t="shared" si="260"/>
        <v>215.76133929913846</v>
      </c>
    </row>
    <row r="102" spans="2:39" ht="15.05" customHeight="1" x14ac:dyDescent="0.25">
      <c r="B102" s="1073" t="s">
        <v>849</v>
      </c>
      <c r="C102" s="1137">
        <f t="shared" si="259"/>
        <v>8926.2529158647303</v>
      </c>
      <c r="D102" s="1140">
        <f t="shared" ref="D102:AM102" si="261">D89*D$168</f>
        <v>0</v>
      </c>
      <c r="E102" s="1140">
        <f t="shared" si="261"/>
        <v>0</v>
      </c>
      <c r="F102" s="1140">
        <f t="shared" si="261"/>
        <v>0</v>
      </c>
      <c r="G102" s="1140">
        <f t="shared" si="261"/>
        <v>0</v>
      </c>
      <c r="H102" s="1140">
        <f t="shared" si="261"/>
        <v>0</v>
      </c>
      <c r="I102" s="1140">
        <f t="shared" si="261"/>
        <v>0</v>
      </c>
      <c r="J102" s="1140">
        <f t="shared" si="261"/>
        <v>672.27534515897935</v>
      </c>
      <c r="K102" s="1140">
        <f t="shared" si="261"/>
        <v>628.29471510184987</v>
      </c>
      <c r="L102" s="1140">
        <f t="shared" si="261"/>
        <v>587.19132252509337</v>
      </c>
      <c r="M102" s="1140">
        <f t="shared" si="261"/>
        <v>548.77693693933952</v>
      </c>
      <c r="N102" s="1140">
        <f t="shared" si="261"/>
        <v>512.87564199938265</v>
      </c>
      <c r="O102" s="1140">
        <f t="shared" si="261"/>
        <v>479.3230299059652</v>
      </c>
      <c r="P102" s="1140">
        <f t="shared" si="261"/>
        <v>447.96544851024782</v>
      </c>
      <c r="Q102" s="1140">
        <f t="shared" si="261"/>
        <v>418.65929767312883</v>
      </c>
      <c r="R102" s="1140">
        <f t="shared" si="261"/>
        <v>391.27037165712972</v>
      </c>
      <c r="S102" s="1140">
        <f t="shared" si="261"/>
        <v>365.67324453937363</v>
      </c>
      <c r="T102" s="1140">
        <f t="shared" si="261"/>
        <v>341.75069583119034</v>
      </c>
      <c r="U102" s="1140">
        <f t="shared" si="261"/>
        <v>319.39317367400957</v>
      </c>
      <c r="V102" s="1140">
        <f t="shared" si="261"/>
        <v>298.49829315327997</v>
      </c>
      <c r="W102" s="1140">
        <f t="shared" si="261"/>
        <v>278.97036743297201</v>
      </c>
      <c r="X102" s="1140">
        <f t="shared" si="261"/>
        <v>260.71996956352524</v>
      </c>
      <c r="Y102" s="1140">
        <f t="shared" si="261"/>
        <v>243.66352295656563</v>
      </c>
      <c r="Z102" s="1140">
        <f t="shared" si="261"/>
        <v>227.72291865099589</v>
      </c>
      <c r="AA102" s="1140">
        <f t="shared" si="261"/>
        <v>212.82515761775318</v>
      </c>
      <c r="AB102" s="1140">
        <f t="shared" si="261"/>
        <v>198.90201646518986</v>
      </c>
      <c r="AC102" s="1140">
        <f t="shared" si="261"/>
        <v>185.88973501419616</v>
      </c>
      <c r="AD102" s="1140">
        <f t="shared" si="261"/>
        <v>173.72872431233282</v>
      </c>
      <c r="AE102" s="1140">
        <f t="shared" si="261"/>
        <v>162.36329374984379</v>
      </c>
      <c r="AF102" s="1140">
        <f t="shared" si="261"/>
        <v>151.7413960278914</v>
      </c>
      <c r="AG102" s="1140">
        <f t="shared" si="261"/>
        <v>141.81438881111345</v>
      </c>
      <c r="AH102" s="1140">
        <f t="shared" si="261"/>
        <v>132.53681197300318</v>
      </c>
      <c r="AI102" s="1140">
        <f t="shared" si="261"/>
        <v>123.86617941402169</v>
      </c>
      <c r="AJ102" s="1140">
        <f t="shared" si="261"/>
        <v>115.7627844990857</v>
      </c>
      <c r="AK102" s="1140">
        <f t="shared" si="261"/>
        <v>108.18951822344458</v>
      </c>
      <c r="AL102" s="1140">
        <f t="shared" si="261"/>
        <v>101.11169927424726</v>
      </c>
      <c r="AM102" s="1141">
        <f t="shared" si="261"/>
        <v>94.496915209576883</v>
      </c>
    </row>
    <row r="103" spans="2:39" ht="15.05" customHeight="1" x14ac:dyDescent="0.25">
      <c r="B103" s="1073" t="s">
        <v>814</v>
      </c>
      <c r="C103" s="1137">
        <f t="shared" si="259"/>
        <v>38.891676514756234</v>
      </c>
      <c r="D103" s="1140">
        <f t="shared" ref="D103:AM103" si="262">D90*D$168</f>
        <v>0</v>
      </c>
      <c r="E103" s="1140">
        <f t="shared" si="262"/>
        <v>0</v>
      </c>
      <c r="F103" s="1140">
        <f t="shared" si="262"/>
        <v>0</v>
      </c>
      <c r="G103" s="1140">
        <f t="shared" si="262"/>
        <v>0</v>
      </c>
      <c r="H103" s="1140">
        <f t="shared" si="262"/>
        <v>0</v>
      </c>
      <c r="I103" s="1140">
        <f t="shared" si="262"/>
        <v>0</v>
      </c>
      <c r="J103" s="1140">
        <f t="shared" si="262"/>
        <v>2.929103118543694</v>
      </c>
      <c r="K103" s="1140">
        <f t="shared" si="262"/>
        <v>2.7374795500408355</v>
      </c>
      <c r="L103" s="1140">
        <f t="shared" si="262"/>
        <v>2.5583921028419025</v>
      </c>
      <c r="M103" s="1140">
        <f t="shared" si="262"/>
        <v>2.391020656861591</v>
      </c>
      <c r="N103" s="1140">
        <f t="shared" si="262"/>
        <v>2.2345987447304587</v>
      </c>
      <c r="O103" s="1140">
        <f t="shared" si="262"/>
        <v>2.0884100418041673</v>
      </c>
      <c r="P103" s="1140">
        <f t="shared" si="262"/>
        <v>1.951785085798287</v>
      </c>
      <c r="Q103" s="1140">
        <f t="shared" si="262"/>
        <v>1.8240982110264365</v>
      </c>
      <c r="R103" s="1140">
        <f t="shared" si="262"/>
        <v>1.7047646832022769</v>
      </c>
      <c r="S103" s="1140">
        <f t="shared" si="262"/>
        <v>1.5932380216843713</v>
      </c>
      <c r="T103" s="1140">
        <f t="shared" si="262"/>
        <v>1.4890074969012816</v>
      </c>
      <c r="U103" s="1140">
        <f t="shared" si="262"/>
        <v>1.3915957914965247</v>
      </c>
      <c r="V103" s="1140">
        <f t="shared" si="262"/>
        <v>1.3005568144827333</v>
      </c>
      <c r="W103" s="1140">
        <f t="shared" si="262"/>
        <v>1.215473658395078</v>
      </c>
      <c r="X103" s="1140">
        <f t="shared" si="262"/>
        <v>1.135956690088858</v>
      </c>
      <c r="Y103" s="1140">
        <f t="shared" si="262"/>
        <v>1.061641766438185</v>
      </c>
      <c r="Z103" s="1140">
        <f t="shared" si="262"/>
        <v>0.99218856676465883</v>
      </c>
      <c r="AA103" s="1140">
        <f t="shared" si="262"/>
        <v>0.92727903435949421</v>
      </c>
      <c r="AB103" s="1140">
        <f t="shared" si="262"/>
        <v>0.86661591996214404</v>
      </c>
      <c r="AC103" s="1140">
        <f t="shared" si="262"/>
        <v>0.80992142052536831</v>
      </c>
      <c r="AD103" s="1140">
        <f t="shared" si="262"/>
        <v>0.75693590703305436</v>
      </c>
      <c r="AE103" s="1140">
        <f t="shared" si="262"/>
        <v>0.70741673554491069</v>
      </c>
      <c r="AF103" s="1140">
        <f t="shared" si="262"/>
        <v>0.66113713602328106</v>
      </c>
      <c r="AG103" s="1140">
        <f t="shared" si="262"/>
        <v>0.61788517385353381</v>
      </c>
      <c r="AH103" s="1140">
        <f t="shared" si="262"/>
        <v>0.57746277930236778</v>
      </c>
      <c r="AI103" s="1140">
        <f t="shared" si="262"/>
        <v>0.53968484046950271</v>
      </c>
      <c r="AJ103" s="1140">
        <f t="shared" si="262"/>
        <v>0.50437835557897448</v>
      </c>
      <c r="AK103" s="1140">
        <f t="shared" si="262"/>
        <v>0.47138164072801358</v>
      </c>
      <c r="AL103" s="1140">
        <f t="shared" si="262"/>
        <v>0.44054358946543321</v>
      </c>
      <c r="AM103" s="1141">
        <f t="shared" si="262"/>
        <v>0.41172298080881609</v>
      </c>
    </row>
    <row r="104" spans="2:39" ht="15.05" customHeight="1" x14ac:dyDescent="0.25">
      <c r="B104" s="1073" t="s">
        <v>850</v>
      </c>
      <c r="C104" s="1137">
        <f t="shared" si="259"/>
        <v>29310.774672542615</v>
      </c>
      <c r="D104" s="1140">
        <f t="shared" ref="D104:AM104" si="263">D91*D$168</f>
        <v>0</v>
      </c>
      <c r="E104" s="1140">
        <f t="shared" si="263"/>
        <v>0</v>
      </c>
      <c r="F104" s="1140">
        <f t="shared" si="263"/>
        <v>0</v>
      </c>
      <c r="G104" s="1140">
        <f t="shared" si="263"/>
        <v>0</v>
      </c>
      <c r="H104" s="1140">
        <f t="shared" si="263"/>
        <v>0</v>
      </c>
      <c r="I104" s="1140">
        <f t="shared" si="263"/>
        <v>0</v>
      </c>
      <c r="J104" s="1140">
        <f t="shared" si="263"/>
        <v>2207.5232850325024</v>
      </c>
      <c r="K104" s="1140">
        <f t="shared" si="263"/>
        <v>2063.1058738621518</v>
      </c>
      <c r="L104" s="1140">
        <f t="shared" si="263"/>
        <v>1928.1363307122915</v>
      </c>
      <c r="M104" s="1140">
        <f t="shared" si="263"/>
        <v>1801.9965707591509</v>
      </c>
      <c r="N104" s="1140">
        <f t="shared" si="263"/>
        <v>1684.1089446347203</v>
      </c>
      <c r="O104" s="1140">
        <f t="shared" si="263"/>
        <v>1573.9335931165613</v>
      </c>
      <c r="P104" s="1140">
        <f t="shared" si="263"/>
        <v>1470.9659748752908</v>
      </c>
      <c r="Q104" s="1140">
        <f t="shared" si="263"/>
        <v>1374.7345559582159</v>
      </c>
      <c r="R104" s="1140">
        <f t="shared" si="263"/>
        <v>1284.7986504282389</v>
      </c>
      <c r="S104" s="1140">
        <f t="shared" si="263"/>
        <v>1200.7464022693823</v>
      </c>
      <c r="T104" s="1140">
        <f t="shared" si="263"/>
        <v>1122.1928993171798</v>
      </c>
      <c r="U104" s="1140">
        <f t="shared" si="263"/>
        <v>1048.7784105768035</v>
      </c>
      <c r="V104" s="1140">
        <f t="shared" si="263"/>
        <v>980.16673885682565</v>
      </c>
      <c r="W104" s="1140">
        <f t="shared" si="263"/>
        <v>916.04368117460342</v>
      </c>
      <c r="X104" s="1140">
        <f t="shared" si="263"/>
        <v>856.11558988280694</v>
      </c>
      <c r="Y104" s="1140">
        <f t="shared" si="263"/>
        <v>800.10802792785694</v>
      </c>
      <c r="Z104" s="1140">
        <f t="shared" si="263"/>
        <v>747.76451208210926</v>
      </c>
      <c r="AA104" s="1140">
        <f t="shared" si="263"/>
        <v>698.84533839449466</v>
      </c>
      <c r="AB104" s="1140">
        <f t="shared" si="263"/>
        <v>653.12648448083598</v>
      </c>
      <c r="AC104" s="1140">
        <f t="shared" si="263"/>
        <v>610.39858362694963</v>
      </c>
      <c r="AD104" s="1140">
        <f t="shared" si="263"/>
        <v>570.46596600649491</v>
      </c>
      <c r="AE104" s="1140">
        <f t="shared" si="263"/>
        <v>533.14576262289245</v>
      </c>
      <c r="AF104" s="1140">
        <f t="shared" si="263"/>
        <v>498.2670678718622</v>
      </c>
      <c r="AG104" s="1140">
        <f t="shared" si="263"/>
        <v>465.67015688959083</v>
      </c>
      <c r="AH104" s="1140">
        <f t="shared" si="263"/>
        <v>435.20575410242122</v>
      </c>
      <c r="AI104" s="1140">
        <f t="shared" si="263"/>
        <v>406.73434962843106</v>
      </c>
      <c r="AJ104" s="1140">
        <f t="shared" si="263"/>
        <v>380.12556040040289</v>
      </c>
      <c r="AK104" s="1140">
        <f t="shared" si="263"/>
        <v>355.25753308448873</v>
      </c>
      <c r="AL104" s="1140">
        <f t="shared" si="263"/>
        <v>332.01638606026978</v>
      </c>
      <c r="AM104" s="1141">
        <f t="shared" si="263"/>
        <v>310.29568790679423</v>
      </c>
    </row>
    <row r="105" spans="2:39" ht="15.05" customHeight="1" x14ac:dyDescent="0.25">
      <c r="B105" s="667" t="s">
        <v>575</v>
      </c>
      <c r="C105" s="1137">
        <f t="shared" si="259"/>
        <v>875251.19265815546</v>
      </c>
      <c r="D105" s="1140">
        <f t="shared" ref="D105:AM105" si="264">D92*D$168</f>
        <v>0</v>
      </c>
      <c r="E105" s="1140">
        <f t="shared" si="264"/>
        <v>0</v>
      </c>
      <c r="F105" s="1140">
        <f t="shared" si="264"/>
        <v>0</v>
      </c>
      <c r="G105" s="1140">
        <f t="shared" si="264"/>
        <v>0</v>
      </c>
      <c r="H105" s="1140">
        <f t="shared" si="264"/>
        <v>0</v>
      </c>
      <c r="I105" s="1140">
        <f t="shared" si="264"/>
        <v>0</v>
      </c>
      <c r="J105" s="1140">
        <f t="shared" si="264"/>
        <v>0</v>
      </c>
      <c r="K105" s="1140">
        <f t="shared" si="264"/>
        <v>0</v>
      </c>
      <c r="L105" s="1140">
        <f t="shared" si="264"/>
        <v>0</v>
      </c>
      <c r="M105" s="1140">
        <f t="shared" si="264"/>
        <v>0</v>
      </c>
      <c r="N105" s="1140">
        <f t="shared" si="264"/>
        <v>0</v>
      </c>
      <c r="O105" s="1140">
        <f t="shared" si="264"/>
        <v>0</v>
      </c>
      <c r="P105" s="1140">
        <f t="shared" si="264"/>
        <v>0</v>
      </c>
      <c r="Q105" s="1140">
        <f t="shared" si="264"/>
        <v>0</v>
      </c>
      <c r="R105" s="1140">
        <f t="shared" si="264"/>
        <v>0</v>
      </c>
      <c r="S105" s="1140">
        <f t="shared" si="264"/>
        <v>0</v>
      </c>
      <c r="T105" s="1140">
        <f t="shared" si="264"/>
        <v>0</v>
      </c>
      <c r="U105" s="1140">
        <f t="shared" si="264"/>
        <v>0</v>
      </c>
      <c r="V105" s="1140">
        <f t="shared" si="264"/>
        <v>0</v>
      </c>
      <c r="W105" s="1140">
        <f t="shared" si="264"/>
        <v>0</v>
      </c>
      <c r="X105" s="1140">
        <f t="shared" si="264"/>
        <v>0</v>
      </c>
      <c r="Y105" s="1140">
        <f t="shared" si="264"/>
        <v>0</v>
      </c>
      <c r="Z105" s="1140">
        <f t="shared" si="264"/>
        <v>0</v>
      </c>
      <c r="AA105" s="1140">
        <f t="shared" si="264"/>
        <v>0</v>
      </c>
      <c r="AB105" s="1140">
        <f t="shared" si="264"/>
        <v>0</v>
      </c>
      <c r="AC105" s="1140">
        <f t="shared" si="264"/>
        <v>0</v>
      </c>
      <c r="AD105" s="1140">
        <f t="shared" si="264"/>
        <v>0</v>
      </c>
      <c r="AE105" s="1140">
        <f t="shared" si="264"/>
        <v>0</v>
      </c>
      <c r="AF105" s="1140">
        <f t="shared" si="264"/>
        <v>0</v>
      </c>
      <c r="AG105" s="1140">
        <f t="shared" si="264"/>
        <v>0</v>
      </c>
      <c r="AH105" s="1140">
        <f t="shared" si="264"/>
        <v>0</v>
      </c>
      <c r="AI105" s="1140">
        <f t="shared" si="264"/>
        <v>0</v>
      </c>
      <c r="AJ105" s="1140">
        <f t="shared" si="264"/>
        <v>0</v>
      </c>
      <c r="AK105" s="1140">
        <f t="shared" si="264"/>
        <v>0</v>
      </c>
      <c r="AL105" s="1140">
        <f t="shared" si="264"/>
        <v>0</v>
      </c>
      <c r="AM105" s="1141">
        <f t="shared" si="264"/>
        <v>875251.19265815546</v>
      </c>
    </row>
    <row r="106" spans="2:39" ht="15.05" customHeight="1" x14ac:dyDescent="0.25">
      <c r="B106" s="668" t="s">
        <v>568</v>
      </c>
      <c r="C106" s="1144">
        <f>SUM(D106:AM106)</f>
        <v>933908.09769153816</v>
      </c>
      <c r="D106" s="1144">
        <f t="shared" ref="D106:AK106" si="265">SUM(D101:D105)</f>
        <v>0</v>
      </c>
      <c r="E106" s="1144">
        <f t="shared" si="265"/>
        <v>0</v>
      </c>
      <c r="F106" s="1144">
        <f t="shared" si="265"/>
        <v>0</v>
      </c>
      <c r="G106" s="1144">
        <f t="shared" si="265"/>
        <v>0</v>
      </c>
      <c r="H106" s="1144">
        <f t="shared" si="265"/>
        <v>0</v>
      </c>
      <c r="I106" s="1144">
        <f t="shared" si="265"/>
        <v>0</v>
      </c>
      <c r="J106" s="1144">
        <f t="shared" si="265"/>
        <v>4417.70936236739</v>
      </c>
      <c r="K106" s="1144">
        <f t="shared" si="265"/>
        <v>4128.7003386611123</v>
      </c>
      <c r="L106" s="1144">
        <f t="shared" si="265"/>
        <v>3858.5984473468338</v>
      </c>
      <c r="M106" s="1144">
        <f t="shared" si="265"/>
        <v>3606.16677322134</v>
      </c>
      <c r="N106" s="1144">
        <f t="shared" si="265"/>
        <v>3370.2493207676071</v>
      </c>
      <c r="O106" s="1144">
        <f t="shared" si="265"/>
        <v>3149.7657203435583</v>
      </c>
      <c r="P106" s="1144">
        <f t="shared" si="265"/>
        <v>2943.7062806949143</v>
      </c>
      <c r="Q106" s="1144">
        <f t="shared" si="265"/>
        <v>2751.127365135434</v>
      </c>
      <c r="R106" s="1144">
        <f t="shared" si="265"/>
        <v>2571.1470702200313</v>
      </c>
      <c r="S106" s="1144">
        <f t="shared" si="265"/>
        <v>2402.9411871215252</v>
      </c>
      <c r="T106" s="1144">
        <f t="shared" si="265"/>
        <v>2245.7394272163788</v>
      </c>
      <c r="U106" s="1144">
        <f t="shared" si="265"/>
        <v>2098.8218945947465</v>
      </c>
      <c r="V106" s="1144">
        <f t="shared" si="265"/>
        <v>1961.5157893408846</v>
      </c>
      <c r="W106" s="1144">
        <f t="shared" si="265"/>
        <v>1833.192326486808</v>
      </c>
      <c r="X106" s="1144">
        <f t="shared" si="265"/>
        <v>1713.263856529727</v>
      </c>
      <c r="Y106" s="1144">
        <f t="shared" si="265"/>
        <v>1601.1811743268477</v>
      </c>
      <c r="Z106" s="1144">
        <f t="shared" si="265"/>
        <v>1496.4310040437827</v>
      </c>
      <c r="AA106" s="1144">
        <f t="shared" si="265"/>
        <v>1398.5336486390493</v>
      </c>
      <c r="AB106" s="1144">
        <f t="shared" si="265"/>
        <v>1307.0407931206066</v>
      </c>
      <c r="AC106" s="1144">
        <f t="shared" si="265"/>
        <v>1221.533451514586</v>
      </c>
      <c r="AD106" s="1144">
        <f t="shared" si="265"/>
        <v>1141.6200481444725</v>
      </c>
      <c r="AE106" s="1144">
        <f t="shared" si="265"/>
        <v>1066.9346244340868</v>
      </c>
      <c r="AF106" s="1144">
        <f t="shared" si="265"/>
        <v>997.13516302251094</v>
      </c>
      <c r="AG106" s="1144">
        <f t="shared" si="265"/>
        <v>931.90202151636549</v>
      </c>
      <c r="AH106" s="1144">
        <f t="shared" si="265"/>
        <v>870.93646870688326</v>
      </c>
      <c r="AI106" s="1144">
        <f t="shared" si="265"/>
        <v>813.95931654848914</v>
      </c>
      <c r="AJ106" s="1144">
        <f t="shared" si="265"/>
        <v>760.70964163410201</v>
      </c>
      <c r="AK106" s="1145">
        <f t="shared" si="265"/>
        <v>710.94359031224496</v>
      </c>
      <c r="AL106" s="1145">
        <f t="shared" ref="AL106:AM106" si="266">SUM(AL101:AL105)</f>
        <v>664.43326197406066</v>
      </c>
      <c r="AM106" s="1145">
        <f t="shared" si="266"/>
        <v>875872.15832355176</v>
      </c>
    </row>
    <row r="107" spans="2:39" ht="15.05" customHeight="1" x14ac:dyDescent="0.25">
      <c r="B107" s="667" t="s">
        <v>569</v>
      </c>
      <c r="C107" s="1137">
        <f t="shared" ref="C107:C108" si="267">SUM(D107:AM107)</f>
        <v>19706489.8070632</v>
      </c>
      <c r="D107" s="1140">
        <f t="shared" ref="D107:AM107" si="268">D94*D$168</f>
        <v>0</v>
      </c>
      <c r="E107" s="1140">
        <f t="shared" si="268"/>
        <v>2201971.0057963734</v>
      </c>
      <c r="F107" s="1140">
        <f t="shared" si="268"/>
        <v>13760340.020046709</v>
      </c>
      <c r="G107" s="1140">
        <f t="shared" si="268"/>
        <v>0</v>
      </c>
      <c r="H107" s="1140">
        <f t="shared" si="268"/>
        <v>0</v>
      </c>
      <c r="I107" s="1140">
        <f t="shared" si="268"/>
        <v>3744178.7812201176</v>
      </c>
      <c r="J107" s="1140">
        <f t="shared" si="268"/>
        <v>0</v>
      </c>
      <c r="K107" s="1140">
        <f t="shared" si="268"/>
        <v>0</v>
      </c>
      <c r="L107" s="1140">
        <f t="shared" si="268"/>
        <v>0</v>
      </c>
      <c r="M107" s="1140">
        <f t="shared" si="268"/>
        <v>0</v>
      </c>
      <c r="N107" s="1140">
        <f t="shared" si="268"/>
        <v>0</v>
      </c>
      <c r="O107" s="1140">
        <f t="shared" si="268"/>
        <v>0</v>
      </c>
      <c r="P107" s="1140">
        <f t="shared" si="268"/>
        <v>0</v>
      </c>
      <c r="Q107" s="1140">
        <f t="shared" si="268"/>
        <v>0</v>
      </c>
      <c r="R107" s="1140">
        <f t="shared" si="268"/>
        <v>0</v>
      </c>
      <c r="S107" s="1140">
        <f t="shared" si="268"/>
        <v>0</v>
      </c>
      <c r="T107" s="1140">
        <f t="shared" si="268"/>
        <v>0</v>
      </c>
      <c r="U107" s="1140">
        <f t="shared" si="268"/>
        <v>0</v>
      </c>
      <c r="V107" s="1140">
        <f t="shared" si="268"/>
        <v>0</v>
      </c>
      <c r="W107" s="1140">
        <f t="shared" si="268"/>
        <v>0</v>
      </c>
      <c r="X107" s="1140">
        <f t="shared" si="268"/>
        <v>0</v>
      </c>
      <c r="Y107" s="1140">
        <f t="shared" si="268"/>
        <v>0</v>
      </c>
      <c r="Z107" s="1140">
        <f t="shared" si="268"/>
        <v>0</v>
      </c>
      <c r="AA107" s="1140">
        <f t="shared" si="268"/>
        <v>0</v>
      </c>
      <c r="AB107" s="1140">
        <f t="shared" si="268"/>
        <v>0</v>
      </c>
      <c r="AC107" s="1140">
        <f t="shared" si="268"/>
        <v>0</v>
      </c>
      <c r="AD107" s="1140">
        <f t="shared" si="268"/>
        <v>0</v>
      </c>
      <c r="AE107" s="1140">
        <f t="shared" si="268"/>
        <v>0</v>
      </c>
      <c r="AF107" s="1140">
        <f t="shared" si="268"/>
        <v>0</v>
      </c>
      <c r="AG107" s="1140">
        <f t="shared" si="268"/>
        <v>0</v>
      </c>
      <c r="AH107" s="1140">
        <f t="shared" si="268"/>
        <v>0</v>
      </c>
      <c r="AI107" s="1140">
        <f t="shared" si="268"/>
        <v>0</v>
      </c>
      <c r="AJ107" s="1140">
        <f t="shared" si="268"/>
        <v>0</v>
      </c>
      <c r="AK107" s="1140">
        <f t="shared" si="268"/>
        <v>0</v>
      </c>
      <c r="AL107" s="1140">
        <f t="shared" si="268"/>
        <v>0</v>
      </c>
      <c r="AM107" s="1140">
        <f t="shared" si="268"/>
        <v>0</v>
      </c>
    </row>
    <row r="108" spans="2:39" ht="15.05" customHeight="1" x14ac:dyDescent="0.25">
      <c r="B108" s="667" t="s">
        <v>583</v>
      </c>
      <c r="C108" s="1137">
        <f t="shared" si="267"/>
        <v>0</v>
      </c>
      <c r="D108" s="1140">
        <v>0</v>
      </c>
      <c r="E108" s="1140">
        <v>0</v>
      </c>
      <c r="F108" s="1140">
        <v>0</v>
      </c>
      <c r="G108" s="1140">
        <v>0</v>
      </c>
      <c r="H108" s="1140">
        <v>0</v>
      </c>
      <c r="I108" s="1140">
        <v>0</v>
      </c>
      <c r="J108" s="1140">
        <v>0</v>
      </c>
      <c r="K108" s="1140">
        <v>0</v>
      </c>
      <c r="L108" s="1140">
        <v>0</v>
      </c>
      <c r="M108" s="1140">
        <v>0</v>
      </c>
      <c r="N108" s="1140">
        <v>0</v>
      </c>
      <c r="O108" s="1140">
        <v>0</v>
      </c>
      <c r="P108" s="1140">
        <v>0</v>
      </c>
      <c r="Q108" s="1140">
        <v>0</v>
      </c>
      <c r="R108" s="1140">
        <v>0</v>
      </c>
      <c r="S108" s="1140">
        <v>0</v>
      </c>
      <c r="T108" s="1140">
        <v>0</v>
      </c>
      <c r="U108" s="1140">
        <v>0</v>
      </c>
      <c r="V108" s="1140">
        <v>0</v>
      </c>
      <c r="W108" s="1140">
        <v>0</v>
      </c>
      <c r="X108" s="1140">
        <v>0</v>
      </c>
      <c r="Y108" s="1140">
        <v>0</v>
      </c>
      <c r="Z108" s="1140">
        <v>0</v>
      </c>
      <c r="AA108" s="1140">
        <v>0</v>
      </c>
      <c r="AB108" s="1140">
        <v>0</v>
      </c>
      <c r="AC108" s="1140">
        <v>0</v>
      </c>
      <c r="AD108" s="1140">
        <v>0</v>
      </c>
      <c r="AE108" s="1140">
        <v>0</v>
      </c>
      <c r="AF108" s="1140">
        <v>0</v>
      </c>
      <c r="AG108" s="1140">
        <v>0</v>
      </c>
      <c r="AH108" s="1140">
        <v>0</v>
      </c>
      <c r="AI108" s="1140">
        <v>0</v>
      </c>
      <c r="AJ108" s="1140">
        <v>0</v>
      </c>
      <c r="AK108" s="1140">
        <v>0</v>
      </c>
      <c r="AL108" s="1140">
        <v>0</v>
      </c>
      <c r="AM108" s="1140">
        <v>0</v>
      </c>
    </row>
    <row r="109" spans="2:39" ht="15.05" customHeight="1" x14ac:dyDescent="0.25">
      <c r="B109" s="668" t="s">
        <v>570</v>
      </c>
      <c r="C109" s="1144">
        <f>SUM(D109:AM109)</f>
        <v>19706489.8070632</v>
      </c>
      <c r="D109" s="1144">
        <f t="shared" ref="D109:F109" si="269">SUM(D107:D108)</f>
        <v>0</v>
      </c>
      <c r="E109" s="1144">
        <f t="shared" si="269"/>
        <v>2201971.0057963734</v>
      </c>
      <c r="F109" s="1144">
        <f t="shared" si="269"/>
        <v>13760340.020046709</v>
      </c>
      <c r="G109" s="1144">
        <f>SUM(G107:G108)</f>
        <v>0</v>
      </c>
      <c r="H109" s="1144">
        <f t="shared" ref="H109:AK109" si="270">SUM(H107:H108)</f>
        <v>0</v>
      </c>
      <c r="I109" s="1144">
        <f t="shared" si="270"/>
        <v>3744178.7812201176</v>
      </c>
      <c r="J109" s="1144">
        <f t="shared" si="270"/>
        <v>0</v>
      </c>
      <c r="K109" s="1144">
        <f t="shared" si="270"/>
        <v>0</v>
      </c>
      <c r="L109" s="1144">
        <f t="shared" si="270"/>
        <v>0</v>
      </c>
      <c r="M109" s="1144">
        <f t="shared" si="270"/>
        <v>0</v>
      </c>
      <c r="N109" s="1144">
        <f t="shared" si="270"/>
        <v>0</v>
      </c>
      <c r="O109" s="1144">
        <f t="shared" si="270"/>
        <v>0</v>
      </c>
      <c r="P109" s="1144">
        <f t="shared" si="270"/>
        <v>0</v>
      </c>
      <c r="Q109" s="1144">
        <f t="shared" si="270"/>
        <v>0</v>
      </c>
      <c r="R109" s="1144">
        <f t="shared" si="270"/>
        <v>0</v>
      </c>
      <c r="S109" s="1144">
        <f t="shared" si="270"/>
        <v>0</v>
      </c>
      <c r="T109" s="1144">
        <f t="shared" si="270"/>
        <v>0</v>
      </c>
      <c r="U109" s="1144">
        <f t="shared" si="270"/>
        <v>0</v>
      </c>
      <c r="V109" s="1144">
        <f t="shared" si="270"/>
        <v>0</v>
      </c>
      <c r="W109" s="1144">
        <f t="shared" si="270"/>
        <v>0</v>
      </c>
      <c r="X109" s="1144">
        <f t="shared" si="270"/>
        <v>0</v>
      </c>
      <c r="Y109" s="1144">
        <f t="shared" si="270"/>
        <v>0</v>
      </c>
      <c r="Z109" s="1144">
        <f t="shared" si="270"/>
        <v>0</v>
      </c>
      <c r="AA109" s="1144">
        <f t="shared" si="270"/>
        <v>0</v>
      </c>
      <c r="AB109" s="1144">
        <f t="shared" si="270"/>
        <v>0</v>
      </c>
      <c r="AC109" s="1144">
        <f t="shared" si="270"/>
        <v>0</v>
      </c>
      <c r="AD109" s="1144">
        <f t="shared" si="270"/>
        <v>0</v>
      </c>
      <c r="AE109" s="1144">
        <f t="shared" si="270"/>
        <v>0</v>
      </c>
      <c r="AF109" s="1144">
        <f t="shared" si="270"/>
        <v>0</v>
      </c>
      <c r="AG109" s="1144">
        <f t="shared" si="270"/>
        <v>0</v>
      </c>
      <c r="AH109" s="1144">
        <f t="shared" si="270"/>
        <v>0</v>
      </c>
      <c r="AI109" s="1144">
        <f t="shared" si="270"/>
        <v>0</v>
      </c>
      <c r="AJ109" s="1144">
        <f t="shared" si="270"/>
        <v>0</v>
      </c>
      <c r="AK109" s="1145">
        <f t="shared" si="270"/>
        <v>0</v>
      </c>
      <c r="AL109" s="1145">
        <f t="shared" ref="AL109:AM109" si="271">SUM(AL107:AL108)</f>
        <v>0</v>
      </c>
      <c r="AM109" s="1145">
        <f t="shared" si="271"/>
        <v>0</v>
      </c>
    </row>
    <row r="110" spans="2:39" ht="15.05" customHeight="1" x14ac:dyDescent="0.25">
      <c r="B110" s="726" t="s">
        <v>612</v>
      </c>
      <c r="C110" s="1146">
        <f>SUM(D110:AM110)</f>
        <v>-18772581.709371656</v>
      </c>
      <c r="D110" s="1146">
        <f>D106-D109</f>
        <v>0</v>
      </c>
      <c r="E110" s="1146">
        <f t="shared" ref="E110:AK110" si="272">E106-E109</f>
        <v>-2201971.0057963734</v>
      </c>
      <c r="F110" s="1146">
        <f t="shared" si="272"/>
        <v>-13760340.020046709</v>
      </c>
      <c r="G110" s="1146">
        <f t="shared" si="272"/>
        <v>0</v>
      </c>
      <c r="H110" s="1146">
        <f t="shared" si="272"/>
        <v>0</v>
      </c>
      <c r="I110" s="1146">
        <f t="shared" si="272"/>
        <v>-3744178.7812201176</v>
      </c>
      <c r="J110" s="1146">
        <f t="shared" si="272"/>
        <v>4417.70936236739</v>
      </c>
      <c r="K110" s="1146">
        <f t="shared" si="272"/>
        <v>4128.7003386611123</v>
      </c>
      <c r="L110" s="1146">
        <f t="shared" si="272"/>
        <v>3858.5984473468338</v>
      </c>
      <c r="M110" s="1146">
        <f t="shared" si="272"/>
        <v>3606.16677322134</v>
      </c>
      <c r="N110" s="1146">
        <f t="shared" si="272"/>
        <v>3370.2493207676071</v>
      </c>
      <c r="O110" s="1146">
        <f t="shared" si="272"/>
        <v>3149.7657203435583</v>
      </c>
      <c r="P110" s="1146">
        <f t="shared" si="272"/>
        <v>2943.7062806949143</v>
      </c>
      <c r="Q110" s="1146">
        <f t="shared" si="272"/>
        <v>2751.127365135434</v>
      </c>
      <c r="R110" s="1146">
        <f t="shared" si="272"/>
        <v>2571.1470702200313</v>
      </c>
      <c r="S110" s="1146">
        <f t="shared" si="272"/>
        <v>2402.9411871215252</v>
      </c>
      <c r="T110" s="1146">
        <f t="shared" si="272"/>
        <v>2245.7394272163788</v>
      </c>
      <c r="U110" s="1146">
        <f t="shared" si="272"/>
        <v>2098.8218945947465</v>
      </c>
      <c r="V110" s="1146">
        <f t="shared" si="272"/>
        <v>1961.5157893408846</v>
      </c>
      <c r="W110" s="1146">
        <f t="shared" si="272"/>
        <v>1833.192326486808</v>
      </c>
      <c r="X110" s="1146">
        <f t="shared" si="272"/>
        <v>1713.263856529727</v>
      </c>
      <c r="Y110" s="1146">
        <f t="shared" si="272"/>
        <v>1601.1811743268477</v>
      </c>
      <c r="Z110" s="1146">
        <f t="shared" si="272"/>
        <v>1496.4310040437827</v>
      </c>
      <c r="AA110" s="1146">
        <f t="shared" si="272"/>
        <v>1398.5336486390493</v>
      </c>
      <c r="AB110" s="1146">
        <f t="shared" si="272"/>
        <v>1307.0407931206066</v>
      </c>
      <c r="AC110" s="1146">
        <f t="shared" si="272"/>
        <v>1221.533451514586</v>
      </c>
      <c r="AD110" s="1146">
        <f t="shared" si="272"/>
        <v>1141.6200481444725</v>
      </c>
      <c r="AE110" s="1146">
        <f t="shared" si="272"/>
        <v>1066.9346244340868</v>
      </c>
      <c r="AF110" s="1146">
        <f t="shared" si="272"/>
        <v>997.13516302251094</v>
      </c>
      <c r="AG110" s="1146">
        <f t="shared" si="272"/>
        <v>931.90202151636549</v>
      </c>
      <c r="AH110" s="1146">
        <f t="shared" si="272"/>
        <v>870.93646870688326</v>
      </c>
      <c r="AI110" s="1146">
        <f t="shared" si="272"/>
        <v>813.95931654848914</v>
      </c>
      <c r="AJ110" s="1146">
        <f t="shared" si="272"/>
        <v>760.70964163410201</v>
      </c>
      <c r="AK110" s="1147">
        <f t="shared" si="272"/>
        <v>710.94359031224496</v>
      </c>
      <c r="AL110" s="1147">
        <f t="shared" ref="AL110:AM110" si="273">AL106-AL109</f>
        <v>664.43326197406066</v>
      </c>
      <c r="AM110" s="1147">
        <f t="shared" si="273"/>
        <v>875872.15832355176</v>
      </c>
    </row>
    <row r="111" spans="2:39" ht="15.05" customHeight="1" x14ac:dyDescent="0.25">
      <c r="B111" s="727" t="s">
        <v>613</v>
      </c>
      <c r="C111" s="1148"/>
      <c r="D111" s="1148">
        <f>D110</f>
        <v>0</v>
      </c>
      <c r="E111" s="1148">
        <f>D111+E110</f>
        <v>-2201971.0057963734</v>
      </c>
      <c r="F111" s="1148">
        <f t="shared" ref="F111" si="274">E111+F110</f>
        <v>-15962311.025843082</v>
      </c>
      <c r="G111" s="1148">
        <f t="shared" ref="G111" si="275">F111+G110</f>
        <v>-15962311.025843082</v>
      </c>
      <c r="H111" s="1148">
        <f t="shared" ref="H111" si="276">G111+H110</f>
        <v>-15962311.025843082</v>
      </c>
      <c r="I111" s="1148">
        <f t="shared" ref="I111" si="277">H111+I110</f>
        <v>-19706489.8070632</v>
      </c>
      <c r="J111" s="1148">
        <f t="shared" ref="J111" si="278">I111+J110</f>
        <v>-19702072.097700831</v>
      </c>
      <c r="K111" s="1148">
        <f t="shared" ref="K111" si="279">J111+K110</f>
        <v>-19697943.397362169</v>
      </c>
      <c r="L111" s="1148">
        <f t="shared" ref="L111" si="280">K111+L110</f>
        <v>-19694084.798914824</v>
      </c>
      <c r="M111" s="1148">
        <f t="shared" ref="M111" si="281">L111+M110</f>
        <v>-19690478.632141601</v>
      </c>
      <c r="N111" s="1148">
        <f t="shared" ref="N111" si="282">M111+N110</f>
        <v>-19687108.382820833</v>
      </c>
      <c r="O111" s="1148">
        <f t="shared" ref="O111" si="283">N111+O110</f>
        <v>-19683958.617100488</v>
      </c>
      <c r="P111" s="1148">
        <f t="shared" ref="P111" si="284">O111+P110</f>
        <v>-19681014.910819795</v>
      </c>
      <c r="Q111" s="1148">
        <f t="shared" ref="Q111" si="285">P111+Q110</f>
        <v>-19678263.78345466</v>
      </c>
      <c r="R111" s="1148">
        <f t="shared" ref="R111" si="286">Q111+R110</f>
        <v>-19675692.636384439</v>
      </c>
      <c r="S111" s="1148">
        <f t="shared" ref="S111" si="287">R111+S110</f>
        <v>-19673289.695197318</v>
      </c>
      <c r="T111" s="1148">
        <f t="shared" ref="T111" si="288">S111+T110</f>
        <v>-19671043.955770101</v>
      </c>
      <c r="U111" s="1148">
        <f t="shared" ref="U111" si="289">T111+U110</f>
        <v>-19668945.133875508</v>
      </c>
      <c r="V111" s="1148">
        <f t="shared" ref="V111" si="290">U111+V110</f>
        <v>-19666983.618086167</v>
      </c>
      <c r="W111" s="1148">
        <f t="shared" ref="W111" si="291">V111+W110</f>
        <v>-19665150.425759681</v>
      </c>
      <c r="X111" s="1148">
        <f t="shared" ref="X111" si="292">W111+X110</f>
        <v>-19663437.16190315</v>
      </c>
      <c r="Y111" s="1148">
        <f t="shared" ref="Y111" si="293">X111+Y110</f>
        <v>-19661835.980728824</v>
      </c>
      <c r="Z111" s="1148">
        <f>Y111+Z110</f>
        <v>-19660339.54972478</v>
      </c>
      <c r="AA111" s="1148">
        <f>Z111+AA110</f>
        <v>-19658941.01607614</v>
      </c>
      <c r="AB111" s="1148">
        <f t="shared" ref="AB111" si="294">AA111+AB110</f>
        <v>-19657633.975283019</v>
      </c>
      <c r="AC111" s="1148">
        <f t="shared" ref="AC111" si="295">AB111+AC110</f>
        <v>-19656412.441831503</v>
      </c>
      <c r="AD111" s="1148">
        <f t="shared" ref="AD111" si="296">AC111+AD110</f>
        <v>-19655270.82178336</v>
      </c>
      <c r="AE111" s="1148">
        <f t="shared" ref="AE111" si="297">AD111+AE110</f>
        <v>-19654203.887158927</v>
      </c>
      <c r="AF111" s="1148">
        <f t="shared" ref="AF111" si="298">AE111+AF110</f>
        <v>-19653206.751995903</v>
      </c>
      <c r="AG111" s="1148">
        <f t="shared" ref="AG111" si="299">AF111+AG110</f>
        <v>-19652274.849974386</v>
      </c>
      <c r="AH111" s="1148">
        <f t="shared" ref="AH111" si="300">AG111+AH110</f>
        <v>-19651403.913505681</v>
      </c>
      <c r="AI111" s="1148">
        <f t="shared" ref="AI111" si="301">AH111+AI110</f>
        <v>-19650589.954189133</v>
      </c>
      <c r="AJ111" s="1148">
        <f t="shared" ref="AJ111" si="302">AI111+AJ110</f>
        <v>-19649829.244547497</v>
      </c>
      <c r="AK111" s="1149">
        <f t="shared" ref="AK111" si="303">AJ111+AK110</f>
        <v>-19649118.300957184</v>
      </c>
      <c r="AL111" s="1149">
        <f t="shared" ref="AL111" si="304">AK111+AL110</f>
        <v>-19648453.867695209</v>
      </c>
      <c r="AM111" s="1149">
        <f t="shared" ref="AM111" si="305">AL111+AM110</f>
        <v>-18772581.709371656</v>
      </c>
    </row>
    <row r="112" spans="2:39" s="657" customFormat="1" ht="15.05" customHeight="1" x14ac:dyDescent="0.25">
      <c r="B112" s="935"/>
      <c r="C112" s="1150"/>
      <c r="D112" s="1150"/>
      <c r="E112" s="1150"/>
      <c r="F112" s="1150"/>
      <c r="G112" s="1150"/>
      <c r="H112" s="1150"/>
      <c r="I112" s="1150"/>
      <c r="J112" s="1150"/>
      <c r="K112" s="1150"/>
      <c r="L112" s="1150"/>
      <c r="M112" s="1150"/>
      <c r="N112" s="1150"/>
      <c r="O112" s="1150"/>
      <c r="P112" s="1150"/>
      <c r="Q112" s="1150"/>
      <c r="R112" s="1150"/>
      <c r="S112" s="1150"/>
      <c r="T112" s="1150"/>
      <c r="U112" s="1150"/>
      <c r="V112" s="1150"/>
      <c r="W112" s="1150"/>
      <c r="X112" s="1150"/>
      <c r="Y112" s="1150"/>
      <c r="Z112" s="1150"/>
      <c r="AA112" s="1150"/>
      <c r="AB112" s="1150"/>
      <c r="AC112" s="1150"/>
      <c r="AD112" s="1150"/>
      <c r="AE112" s="1150"/>
      <c r="AF112" s="1150"/>
      <c r="AG112" s="1150"/>
      <c r="AH112" s="1150"/>
      <c r="AI112" s="1150"/>
      <c r="AJ112" s="1150"/>
      <c r="AK112" s="1150"/>
      <c r="AL112" s="1150"/>
      <c r="AM112" s="1150"/>
    </row>
    <row r="113" spans="2:39" ht="15.05" customHeight="1" x14ac:dyDescent="0.25">
      <c r="B113" s="725" t="s">
        <v>1071</v>
      </c>
      <c r="C113" s="1151" t="s">
        <v>393</v>
      </c>
      <c r="D113" s="1151">
        <f t="shared" ref="D113:AM113" si="306">D100</f>
        <v>2019</v>
      </c>
      <c r="E113" s="1151">
        <f t="shared" si="306"/>
        <v>2020</v>
      </c>
      <c r="F113" s="1151">
        <f t="shared" si="306"/>
        <v>2021</v>
      </c>
      <c r="G113" s="1151">
        <f t="shared" si="306"/>
        <v>2022</v>
      </c>
      <c r="H113" s="1151">
        <f t="shared" si="306"/>
        <v>2023</v>
      </c>
      <c r="I113" s="1151">
        <f t="shared" si="306"/>
        <v>2024</v>
      </c>
      <c r="J113" s="1151">
        <f t="shared" si="306"/>
        <v>2025</v>
      </c>
      <c r="K113" s="1151">
        <f t="shared" si="306"/>
        <v>2026</v>
      </c>
      <c r="L113" s="1151">
        <f t="shared" si="306"/>
        <v>2027</v>
      </c>
      <c r="M113" s="1151">
        <f t="shared" si="306"/>
        <v>2028</v>
      </c>
      <c r="N113" s="1151">
        <f t="shared" si="306"/>
        <v>2029</v>
      </c>
      <c r="O113" s="1151">
        <f t="shared" si="306"/>
        <v>2030</v>
      </c>
      <c r="P113" s="1151">
        <f t="shared" si="306"/>
        <v>2031</v>
      </c>
      <c r="Q113" s="1151">
        <f t="shared" si="306"/>
        <v>2032</v>
      </c>
      <c r="R113" s="1151">
        <f t="shared" si="306"/>
        <v>2033</v>
      </c>
      <c r="S113" s="1151">
        <f t="shared" si="306"/>
        <v>2034</v>
      </c>
      <c r="T113" s="1151">
        <f t="shared" si="306"/>
        <v>2035</v>
      </c>
      <c r="U113" s="1151">
        <f t="shared" si="306"/>
        <v>2036</v>
      </c>
      <c r="V113" s="1151">
        <f t="shared" si="306"/>
        <v>2037</v>
      </c>
      <c r="W113" s="1151">
        <f t="shared" si="306"/>
        <v>2038</v>
      </c>
      <c r="X113" s="1151">
        <f t="shared" si="306"/>
        <v>2039</v>
      </c>
      <c r="Y113" s="1151">
        <f t="shared" si="306"/>
        <v>2040</v>
      </c>
      <c r="Z113" s="1151">
        <f t="shared" si="306"/>
        <v>2041</v>
      </c>
      <c r="AA113" s="1151">
        <f t="shared" si="306"/>
        <v>2042</v>
      </c>
      <c r="AB113" s="1151">
        <f t="shared" si="306"/>
        <v>2043</v>
      </c>
      <c r="AC113" s="1151">
        <f t="shared" si="306"/>
        <v>2044</v>
      </c>
      <c r="AD113" s="1151">
        <f t="shared" si="306"/>
        <v>2045</v>
      </c>
      <c r="AE113" s="1151">
        <f t="shared" si="306"/>
        <v>2046</v>
      </c>
      <c r="AF113" s="1151">
        <f t="shared" si="306"/>
        <v>2047</v>
      </c>
      <c r="AG113" s="1151">
        <f t="shared" si="306"/>
        <v>2048</v>
      </c>
      <c r="AH113" s="1151">
        <f t="shared" si="306"/>
        <v>2049</v>
      </c>
      <c r="AI113" s="1151">
        <f t="shared" si="306"/>
        <v>2050</v>
      </c>
      <c r="AJ113" s="1152">
        <f t="shared" si="306"/>
        <v>2051</v>
      </c>
      <c r="AK113" s="1152">
        <f t="shared" si="306"/>
        <v>2052</v>
      </c>
      <c r="AL113" s="1152">
        <f t="shared" si="306"/>
        <v>2053</v>
      </c>
      <c r="AM113" s="1152">
        <f t="shared" si="306"/>
        <v>2054</v>
      </c>
    </row>
    <row r="114" spans="2:39" ht="15.05" customHeight="1" x14ac:dyDescent="0.25">
      <c r="B114" s="1073" t="s">
        <v>1011</v>
      </c>
      <c r="C114" s="1137">
        <f t="shared" ref="C114:C118" si="307">SUM(D114:AM114)</f>
        <v>40460.582258693343</v>
      </c>
      <c r="D114" s="1140">
        <f>D88*D$169</f>
        <v>0</v>
      </c>
      <c r="E114" s="1140">
        <f t="shared" ref="E114:AM118" si="308">E88*E$169</f>
        <v>0</v>
      </c>
      <c r="F114" s="1140">
        <f t="shared" si="308"/>
        <v>0</v>
      </c>
      <c r="G114" s="1140">
        <f t="shared" si="308"/>
        <v>0</v>
      </c>
      <c r="H114" s="1140">
        <f t="shared" si="308"/>
        <v>0</v>
      </c>
      <c r="I114" s="1140">
        <f t="shared" si="308"/>
        <v>0</v>
      </c>
      <c r="J114" s="1140">
        <f t="shared" si="308"/>
        <v>2004.144600489986</v>
      </c>
      <c r="K114" s="1140">
        <f t="shared" si="308"/>
        <v>1945.7714567863943</v>
      </c>
      <c r="L114" s="1140">
        <f t="shared" si="308"/>
        <v>1889.0985017343635</v>
      </c>
      <c r="M114" s="1140">
        <f t="shared" si="308"/>
        <v>1834.076215276081</v>
      </c>
      <c r="N114" s="1140">
        <f t="shared" si="308"/>
        <v>1780.6565196855156</v>
      </c>
      <c r="O114" s="1140">
        <f t="shared" si="308"/>
        <v>1728.7927375587533</v>
      </c>
      <c r="P114" s="1140">
        <f t="shared" si="308"/>
        <v>1678.4395510279157</v>
      </c>
      <c r="Q114" s="1140">
        <f t="shared" si="308"/>
        <v>1629.5529621630249</v>
      </c>
      <c r="R114" s="1140">
        <f t="shared" si="308"/>
        <v>1582.0902545272083</v>
      </c>
      <c r="S114" s="1140">
        <f t="shared" si="308"/>
        <v>1536.009955851659</v>
      </c>
      <c r="T114" s="1140">
        <f t="shared" si="308"/>
        <v>1491.2718017977272</v>
      </c>
      <c r="U114" s="1140">
        <f t="shared" si="308"/>
        <v>1447.8367007744923</v>
      </c>
      <c r="V114" s="1140">
        <f t="shared" si="308"/>
        <v>1405.6666997810605</v>
      </c>
      <c r="W114" s="1140">
        <f t="shared" si="308"/>
        <v>1364.7249512437481</v>
      </c>
      <c r="X114" s="1140">
        <f t="shared" si="308"/>
        <v>1324.975680819173</v>
      </c>
      <c r="Y114" s="1140">
        <f t="shared" si="308"/>
        <v>1286.3841561351196</v>
      </c>
      <c r="Z114" s="1140">
        <f t="shared" si="308"/>
        <v>1248.9166564418636</v>
      </c>
      <c r="AA114" s="1140">
        <f t="shared" si="308"/>
        <v>1212.5404431474403</v>
      </c>
      <c r="AB114" s="1140">
        <f t="shared" si="308"/>
        <v>1177.2237312111072</v>
      </c>
      <c r="AC114" s="1140">
        <f t="shared" si="308"/>
        <v>1142.935661370007</v>
      </c>
      <c r="AD114" s="1140">
        <f t="shared" si="308"/>
        <v>1109.646273174764</v>
      </c>
      <c r="AE114" s="1140">
        <f t="shared" si="308"/>
        <v>1077.3264788104507</v>
      </c>
      <c r="AF114" s="1140">
        <f t="shared" si="308"/>
        <v>1045.9480376800493</v>
      </c>
      <c r="AG114" s="1140">
        <f t="shared" si="308"/>
        <v>1015.4835317282032</v>
      </c>
      <c r="AH114" s="1140">
        <f t="shared" si="308"/>
        <v>985.90634148369213</v>
      </c>
      <c r="AI114" s="1140">
        <f t="shared" si="308"/>
        <v>957.19062279970126</v>
      </c>
      <c r="AJ114" s="1140">
        <f t="shared" si="308"/>
        <v>929.31128427155465</v>
      </c>
      <c r="AK114" s="1140">
        <f t="shared" si="308"/>
        <v>902.24396531218918</v>
      </c>
      <c r="AL114" s="1140">
        <f t="shared" si="308"/>
        <v>875.96501486620286</v>
      </c>
      <c r="AM114" s="1141">
        <f t="shared" si="308"/>
        <v>850.45147074388626</v>
      </c>
    </row>
    <row r="115" spans="2:39" ht="15.05" customHeight="1" x14ac:dyDescent="0.25">
      <c r="B115" s="1073" t="s">
        <v>849</v>
      </c>
      <c r="C115" s="1137">
        <f t="shared" si="307"/>
        <v>17720.506479286218</v>
      </c>
      <c r="D115" s="1140">
        <f t="shared" ref="D115:S118" si="309">D89*D$169</f>
        <v>0</v>
      </c>
      <c r="E115" s="1140">
        <f t="shared" si="309"/>
        <v>0</v>
      </c>
      <c r="F115" s="1140">
        <f t="shared" si="309"/>
        <v>0</v>
      </c>
      <c r="G115" s="1140">
        <f t="shared" si="309"/>
        <v>0</v>
      </c>
      <c r="H115" s="1140">
        <f t="shared" si="309"/>
        <v>0</v>
      </c>
      <c r="I115" s="1140">
        <f t="shared" si="309"/>
        <v>0</v>
      </c>
      <c r="J115" s="1140">
        <f t="shared" si="309"/>
        <v>877.75448092516433</v>
      </c>
      <c r="K115" s="1140">
        <f t="shared" si="309"/>
        <v>852.18881643219845</v>
      </c>
      <c r="L115" s="1140">
        <f t="shared" si="309"/>
        <v>827.36778294388205</v>
      </c>
      <c r="M115" s="1140">
        <f t="shared" si="309"/>
        <v>803.26969217852616</v>
      </c>
      <c r="N115" s="1140">
        <f t="shared" si="309"/>
        <v>779.87348755196717</v>
      </c>
      <c r="O115" s="1140">
        <f t="shared" si="309"/>
        <v>757.1587257786091</v>
      </c>
      <c r="P115" s="1140">
        <f t="shared" si="309"/>
        <v>735.10555900835834</v>
      </c>
      <c r="Q115" s="1140">
        <f t="shared" si="309"/>
        <v>713.69471748384296</v>
      </c>
      <c r="R115" s="1140">
        <f t="shared" si="309"/>
        <v>692.90749270276001</v>
      </c>
      <c r="S115" s="1140">
        <f t="shared" si="309"/>
        <v>672.72572107064093</v>
      </c>
      <c r="T115" s="1140">
        <f t="shared" si="308"/>
        <v>653.13176802974851</v>
      </c>
      <c r="U115" s="1140">
        <f t="shared" si="308"/>
        <v>634.10851265024121</v>
      </c>
      <c r="V115" s="1140">
        <f t="shared" si="308"/>
        <v>615.63933267013715</v>
      </c>
      <c r="W115" s="1140">
        <f t="shared" si="308"/>
        <v>597.70808997100698</v>
      </c>
      <c r="X115" s="1140">
        <f t="shared" si="308"/>
        <v>580.29911647670588</v>
      </c>
      <c r="Y115" s="1140">
        <f t="shared" si="308"/>
        <v>563.39720046282116</v>
      </c>
      <c r="Z115" s="1140">
        <f t="shared" si="308"/>
        <v>546.98757326487487</v>
      </c>
      <c r="AA115" s="1140">
        <f t="shared" si="308"/>
        <v>531.05589637366506</v>
      </c>
      <c r="AB115" s="1140">
        <f t="shared" si="308"/>
        <v>515.58824890647088</v>
      </c>
      <c r="AC115" s="1140">
        <f t="shared" si="308"/>
        <v>500.57111544317559</v>
      </c>
      <c r="AD115" s="1140">
        <f t="shared" si="308"/>
        <v>485.99137421667535</v>
      </c>
      <c r="AE115" s="1140">
        <f t="shared" si="308"/>
        <v>471.83628564725763</v>
      </c>
      <c r="AF115" s="1140">
        <f t="shared" si="308"/>
        <v>458.09348121092978</v>
      </c>
      <c r="AG115" s="1140">
        <f t="shared" si="308"/>
        <v>444.75095263197068</v>
      </c>
      <c r="AH115" s="1140">
        <f t="shared" si="308"/>
        <v>431.79704139026273</v>
      </c>
      <c r="AI115" s="1140">
        <f t="shared" si="308"/>
        <v>419.22042853423574</v>
      </c>
      <c r="AJ115" s="1140">
        <f t="shared" si="308"/>
        <v>407.01012479052008</v>
      </c>
      <c r="AK115" s="1140">
        <f t="shared" si="308"/>
        <v>395.15546096167009</v>
      </c>
      <c r="AL115" s="1140">
        <f t="shared" si="308"/>
        <v>383.64607860356313</v>
      </c>
      <c r="AM115" s="1141">
        <f t="shared" si="308"/>
        <v>372.4719209743331</v>
      </c>
    </row>
    <row r="116" spans="2:39" ht="15.05" customHeight="1" x14ac:dyDescent="0.25">
      <c r="B116" s="1073" t="s">
        <v>814</v>
      </c>
      <c r="C116" s="1137">
        <f t="shared" si="307"/>
        <v>77.208231960933347</v>
      </c>
      <c r="D116" s="1140">
        <f t="shared" si="309"/>
        <v>0</v>
      </c>
      <c r="E116" s="1140">
        <f t="shared" si="308"/>
        <v>0</v>
      </c>
      <c r="F116" s="1140">
        <f t="shared" si="308"/>
        <v>0</v>
      </c>
      <c r="G116" s="1140">
        <f t="shared" si="308"/>
        <v>0</v>
      </c>
      <c r="H116" s="1140">
        <f t="shared" si="308"/>
        <v>0</v>
      </c>
      <c r="I116" s="1140">
        <f t="shared" si="308"/>
        <v>0</v>
      </c>
      <c r="J116" s="1140">
        <f t="shared" si="308"/>
        <v>3.8243755418185144</v>
      </c>
      <c r="K116" s="1140">
        <f t="shared" si="308"/>
        <v>3.7129859629305964</v>
      </c>
      <c r="L116" s="1140">
        <f t="shared" si="308"/>
        <v>3.6048407407093173</v>
      </c>
      <c r="M116" s="1140">
        <f t="shared" si="308"/>
        <v>3.4998453793294337</v>
      </c>
      <c r="N116" s="1140">
        <f t="shared" si="308"/>
        <v>3.3979081352712952</v>
      </c>
      <c r="O116" s="1140">
        <f t="shared" si="308"/>
        <v>3.2989399371565979</v>
      </c>
      <c r="P116" s="1140">
        <f t="shared" si="308"/>
        <v>3.202854307919027</v>
      </c>
      <c r="Q116" s="1140">
        <f t="shared" si="308"/>
        <v>3.1095672892417734</v>
      </c>
      <c r="R116" s="1140">
        <f t="shared" si="308"/>
        <v>3.0189973681958961</v>
      </c>
      <c r="S116" s="1140">
        <f t="shared" si="308"/>
        <v>2.931065406015434</v>
      </c>
      <c r="T116" s="1140">
        <f t="shared" si="308"/>
        <v>2.8456945689470232</v>
      </c>
      <c r="U116" s="1140">
        <f t="shared" si="308"/>
        <v>2.7628102611136147</v>
      </c>
      <c r="V116" s="1140">
        <f t="shared" si="308"/>
        <v>2.6823400593336064</v>
      </c>
      <c r="W116" s="1140">
        <f t="shared" si="308"/>
        <v>2.6042136498384529</v>
      </c>
      <c r="X116" s="1140">
        <f t="shared" si="308"/>
        <v>2.5283627668334496</v>
      </c>
      <c r="Y116" s="1140">
        <f t="shared" si="308"/>
        <v>2.4547211328480096</v>
      </c>
      <c r="Z116" s="1140">
        <f t="shared" si="308"/>
        <v>2.3832244008233099</v>
      </c>
      <c r="AA116" s="1140">
        <f t="shared" si="308"/>
        <v>2.3138100978867091</v>
      </c>
      <c r="AB116" s="1140">
        <f t="shared" si="308"/>
        <v>2.246417570763795</v>
      </c>
      <c r="AC116" s="1140">
        <f t="shared" si="308"/>
        <v>2.1809879327803836</v>
      </c>
      <c r="AD116" s="1140">
        <f t="shared" si="308"/>
        <v>2.1174640124081394</v>
      </c>
      <c r="AE116" s="1140">
        <f t="shared" si="308"/>
        <v>2.0557903033088731</v>
      </c>
      <c r="AF116" s="1140">
        <f t="shared" si="308"/>
        <v>1.9959129158338578</v>
      </c>
      <c r="AG116" s="1140">
        <f t="shared" si="308"/>
        <v>1.9377795299357841</v>
      </c>
      <c r="AH116" s="1140">
        <f t="shared" si="308"/>
        <v>1.8813393494522173</v>
      </c>
      <c r="AI116" s="1140">
        <f t="shared" si="308"/>
        <v>1.8265430577205997</v>
      </c>
      <c r="AJ116" s="1140">
        <f t="shared" si="308"/>
        <v>1.7733427744860191</v>
      </c>
      <c r="AK116" s="1140">
        <f t="shared" si="308"/>
        <v>1.7216920140640966</v>
      </c>
      <c r="AL116" s="1140">
        <f t="shared" si="308"/>
        <v>1.6715456447224235</v>
      </c>
      <c r="AM116" s="1141">
        <f t="shared" si="308"/>
        <v>1.6228598492450712</v>
      </c>
    </row>
    <row r="117" spans="2:39" ht="15.05" customHeight="1" x14ac:dyDescent="0.25">
      <c r="B117" s="1073" t="s">
        <v>850</v>
      </c>
      <c r="C117" s="1137">
        <f t="shared" si="307"/>
        <v>58188.10842504265</v>
      </c>
      <c r="D117" s="1140">
        <f t="shared" si="309"/>
        <v>0</v>
      </c>
      <c r="E117" s="1140">
        <f t="shared" si="308"/>
        <v>0</v>
      </c>
      <c r="F117" s="1140">
        <f t="shared" si="308"/>
        <v>0</v>
      </c>
      <c r="G117" s="1140">
        <f t="shared" si="308"/>
        <v>0</v>
      </c>
      <c r="H117" s="1140">
        <f t="shared" si="308"/>
        <v>0</v>
      </c>
      <c r="I117" s="1140">
        <f t="shared" si="308"/>
        <v>0</v>
      </c>
      <c r="J117" s="1140">
        <f t="shared" si="308"/>
        <v>2882.2467894099259</v>
      </c>
      <c r="K117" s="1140">
        <f t="shared" si="308"/>
        <v>2798.2978537960444</v>
      </c>
      <c r="L117" s="1140">
        <f t="shared" si="308"/>
        <v>2716.7940328116938</v>
      </c>
      <c r="M117" s="1140">
        <f t="shared" si="308"/>
        <v>2637.664109525916</v>
      </c>
      <c r="N117" s="1140">
        <f t="shared" si="308"/>
        <v>2560.8389412872975</v>
      </c>
      <c r="O117" s="1140">
        <f t="shared" si="308"/>
        <v>2486.2513993080561</v>
      </c>
      <c r="P117" s="1140">
        <f t="shared" si="308"/>
        <v>2413.8363100078213</v>
      </c>
      <c r="Q117" s="1140">
        <f t="shared" si="308"/>
        <v>2343.5303980658459</v>
      </c>
      <c r="R117" s="1140">
        <f t="shared" si="308"/>
        <v>2275.2722311318889</v>
      </c>
      <c r="S117" s="1140">
        <f t="shared" si="308"/>
        <v>2209.0021661474652</v>
      </c>
      <c r="T117" s="1140">
        <f t="shared" si="308"/>
        <v>2144.662297230549</v>
      </c>
      <c r="U117" s="1140">
        <f t="shared" si="308"/>
        <v>2082.1964050782026</v>
      </c>
      <c r="V117" s="1140">
        <f t="shared" si="308"/>
        <v>2021.5499078429154</v>
      </c>
      <c r="W117" s="1140">
        <f t="shared" si="308"/>
        <v>1962.6698134397238</v>
      </c>
      <c r="X117" s="1140">
        <f t="shared" si="308"/>
        <v>1905.5046732424503</v>
      </c>
      <c r="Y117" s="1140">
        <f t="shared" si="308"/>
        <v>1850.0045371285926</v>
      </c>
      <c r="Z117" s="1140">
        <f t="shared" si="308"/>
        <v>1796.1209098335851</v>
      </c>
      <c r="AA117" s="1140">
        <f t="shared" si="308"/>
        <v>1743.8067085762962</v>
      </c>
      <c r="AB117" s="1140">
        <f t="shared" si="308"/>
        <v>1693.0162219187343</v>
      </c>
      <c r="AC117" s="1140">
        <f t="shared" si="308"/>
        <v>1643.7050698240137</v>
      </c>
      <c r="AD117" s="1140">
        <f t="shared" si="308"/>
        <v>1595.8301648776833</v>
      </c>
      <c r="AE117" s="1140">
        <f t="shared" si="308"/>
        <v>1549.3496746385276</v>
      </c>
      <c r="AF117" s="1140">
        <f t="shared" si="308"/>
        <v>1504.2229850859492</v>
      </c>
      <c r="AG117" s="1140">
        <f t="shared" si="308"/>
        <v>1460.4106651319896</v>
      </c>
      <c r="AH117" s="1140">
        <f t="shared" si="308"/>
        <v>1417.8744321669799</v>
      </c>
      <c r="AI117" s="1140">
        <f t="shared" si="308"/>
        <v>1376.5771186087186</v>
      </c>
      <c r="AJ117" s="1140">
        <f t="shared" si="308"/>
        <v>1336.4826394259403</v>
      </c>
      <c r="AK117" s="1140">
        <f t="shared" si="308"/>
        <v>1297.5559606077093</v>
      </c>
      <c r="AL117" s="1140">
        <f t="shared" si="308"/>
        <v>1259.7630685511738</v>
      </c>
      <c r="AM117" s="1141">
        <f t="shared" si="308"/>
        <v>1223.0709403409455</v>
      </c>
    </row>
    <row r="118" spans="2:39" ht="15.05" customHeight="1" x14ac:dyDescent="0.25">
      <c r="B118" s="667" t="s">
        <v>575</v>
      </c>
      <c r="C118" s="1137">
        <f t="shared" si="307"/>
        <v>3449916.7760284715</v>
      </c>
      <c r="D118" s="1140">
        <f t="shared" si="309"/>
        <v>0</v>
      </c>
      <c r="E118" s="1140">
        <f t="shared" si="308"/>
        <v>0</v>
      </c>
      <c r="F118" s="1140">
        <f t="shared" si="308"/>
        <v>0</v>
      </c>
      <c r="G118" s="1140">
        <f t="shared" si="308"/>
        <v>0</v>
      </c>
      <c r="H118" s="1140">
        <f t="shared" si="308"/>
        <v>0</v>
      </c>
      <c r="I118" s="1140">
        <f t="shared" si="308"/>
        <v>0</v>
      </c>
      <c r="J118" s="1140">
        <f t="shared" si="308"/>
        <v>0</v>
      </c>
      <c r="K118" s="1140">
        <f t="shared" si="308"/>
        <v>0</v>
      </c>
      <c r="L118" s="1140">
        <f t="shared" si="308"/>
        <v>0</v>
      </c>
      <c r="M118" s="1140">
        <f t="shared" si="308"/>
        <v>0</v>
      </c>
      <c r="N118" s="1140">
        <f t="shared" si="308"/>
        <v>0</v>
      </c>
      <c r="O118" s="1140">
        <f t="shared" si="308"/>
        <v>0</v>
      </c>
      <c r="P118" s="1140">
        <f t="shared" si="308"/>
        <v>0</v>
      </c>
      <c r="Q118" s="1140">
        <f t="shared" si="308"/>
        <v>0</v>
      </c>
      <c r="R118" s="1140">
        <f t="shared" si="308"/>
        <v>0</v>
      </c>
      <c r="S118" s="1140">
        <f t="shared" si="308"/>
        <v>0</v>
      </c>
      <c r="T118" s="1140">
        <f t="shared" si="308"/>
        <v>0</v>
      </c>
      <c r="U118" s="1140">
        <f t="shared" si="308"/>
        <v>0</v>
      </c>
      <c r="V118" s="1140">
        <f t="shared" si="308"/>
        <v>0</v>
      </c>
      <c r="W118" s="1140">
        <f t="shared" si="308"/>
        <v>0</v>
      </c>
      <c r="X118" s="1140">
        <f t="shared" si="308"/>
        <v>0</v>
      </c>
      <c r="Y118" s="1140">
        <f t="shared" si="308"/>
        <v>0</v>
      </c>
      <c r="Z118" s="1140">
        <f t="shared" si="308"/>
        <v>0</v>
      </c>
      <c r="AA118" s="1140">
        <f t="shared" si="308"/>
        <v>0</v>
      </c>
      <c r="AB118" s="1140">
        <f t="shared" si="308"/>
        <v>0</v>
      </c>
      <c r="AC118" s="1140">
        <f t="shared" si="308"/>
        <v>0</v>
      </c>
      <c r="AD118" s="1140">
        <f t="shared" si="308"/>
        <v>0</v>
      </c>
      <c r="AE118" s="1140">
        <f t="shared" si="308"/>
        <v>0</v>
      </c>
      <c r="AF118" s="1140">
        <f t="shared" si="308"/>
        <v>0</v>
      </c>
      <c r="AG118" s="1140">
        <f t="shared" si="308"/>
        <v>0</v>
      </c>
      <c r="AH118" s="1140">
        <f t="shared" si="308"/>
        <v>0</v>
      </c>
      <c r="AI118" s="1140">
        <f t="shared" si="308"/>
        <v>0</v>
      </c>
      <c r="AJ118" s="1140">
        <f t="shared" si="308"/>
        <v>0</v>
      </c>
      <c r="AK118" s="1140">
        <f t="shared" si="308"/>
        <v>0</v>
      </c>
      <c r="AL118" s="1140">
        <f t="shared" si="308"/>
        <v>0</v>
      </c>
      <c r="AM118" s="1141">
        <f t="shared" si="308"/>
        <v>3449916.7760284715</v>
      </c>
    </row>
    <row r="119" spans="2:39" ht="15.05" customHeight="1" x14ac:dyDescent="0.25">
      <c r="B119" s="668" t="s">
        <v>568</v>
      </c>
      <c r="C119" s="1144">
        <f>SUM(D119:AM119)</f>
        <v>3566363.1814234545</v>
      </c>
      <c r="D119" s="1144">
        <f t="shared" ref="D119:AM119" si="310">SUM(D114:D118)</f>
        <v>0</v>
      </c>
      <c r="E119" s="1144">
        <f t="shared" si="310"/>
        <v>0</v>
      </c>
      <c r="F119" s="1144">
        <f t="shared" si="310"/>
        <v>0</v>
      </c>
      <c r="G119" s="1144">
        <f t="shared" si="310"/>
        <v>0</v>
      </c>
      <c r="H119" s="1144">
        <f t="shared" si="310"/>
        <v>0</v>
      </c>
      <c r="I119" s="1144">
        <f t="shared" si="310"/>
        <v>0</v>
      </c>
      <c r="J119" s="1144">
        <f t="shared" si="310"/>
        <v>5767.9702463668946</v>
      </c>
      <c r="K119" s="1144">
        <f t="shared" si="310"/>
        <v>5599.9711129775678</v>
      </c>
      <c r="L119" s="1144">
        <f t="shared" si="310"/>
        <v>5436.8651582306484</v>
      </c>
      <c r="M119" s="1144">
        <f t="shared" si="310"/>
        <v>5278.5098623598533</v>
      </c>
      <c r="N119" s="1144">
        <f t="shared" si="310"/>
        <v>5124.7668566600514</v>
      </c>
      <c r="O119" s="1144">
        <f t="shared" si="310"/>
        <v>4975.5018025825757</v>
      </c>
      <c r="P119" s="1144">
        <f t="shared" si="310"/>
        <v>4830.5842743520152</v>
      </c>
      <c r="Q119" s="1144">
        <f t="shared" si="310"/>
        <v>4689.8876450019552</v>
      </c>
      <c r="R119" s="1144">
        <f t="shared" si="310"/>
        <v>4553.2889757300527</v>
      </c>
      <c r="S119" s="1144">
        <f t="shared" si="310"/>
        <v>4420.66890847578</v>
      </c>
      <c r="T119" s="1144">
        <f t="shared" si="310"/>
        <v>4291.9115616269719</v>
      </c>
      <c r="U119" s="1144">
        <f t="shared" si="310"/>
        <v>4166.90442876405</v>
      </c>
      <c r="V119" s="1144">
        <f t="shared" si="310"/>
        <v>4045.5382803534467</v>
      </c>
      <c r="W119" s="1144">
        <f t="shared" si="310"/>
        <v>3927.7070683043175</v>
      </c>
      <c r="X119" s="1144">
        <f t="shared" si="310"/>
        <v>3813.3078333051626</v>
      </c>
      <c r="Y119" s="1144">
        <f t="shared" si="310"/>
        <v>3702.2406148593814</v>
      </c>
      <c r="Z119" s="1144">
        <f t="shared" si="310"/>
        <v>3594.4083639411469</v>
      </c>
      <c r="AA119" s="1144">
        <f t="shared" si="310"/>
        <v>3489.7168581952883</v>
      </c>
      <c r="AB119" s="1144">
        <f t="shared" si="310"/>
        <v>3388.0746196070759</v>
      </c>
      <c r="AC119" s="1144">
        <f t="shared" si="310"/>
        <v>3289.3928345699769</v>
      </c>
      <c r="AD119" s="1144">
        <f t="shared" si="310"/>
        <v>3193.5852762815307</v>
      </c>
      <c r="AE119" s="1144">
        <f t="shared" si="310"/>
        <v>3100.5682293995451</v>
      </c>
      <c r="AF119" s="1144">
        <f t="shared" si="310"/>
        <v>3010.2604168927624</v>
      </c>
      <c r="AG119" s="1144">
        <f t="shared" si="310"/>
        <v>2922.5829290220991</v>
      </c>
      <c r="AH119" s="1144">
        <f t="shared" si="310"/>
        <v>2837.4591543903871</v>
      </c>
      <c r="AI119" s="1144">
        <f t="shared" si="310"/>
        <v>2754.8147130003763</v>
      </c>
      <c r="AJ119" s="1144">
        <f t="shared" si="310"/>
        <v>2674.5773912625009</v>
      </c>
      <c r="AK119" s="1145">
        <f t="shared" si="310"/>
        <v>2596.6770788956328</v>
      </c>
      <c r="AL119" s="1145">
        <f t="shared" si="310"/>
        <v>2521.0457076656621</v>
      </c>
      <c r="AM119" s="1145">
        <f t="shared" si="310"/>
        <v>3452364.3932203799</v>
      </c>
    </row>
    <row r="120" spans="2:39" ht="15.05" customHeight="1" x14ac:dyDescent="0.25">
      <c r="B120" s="667" t="s">
        <v>569</v>
      </c>
      <c r="C120" s="1137">
        <f t="shared" ref="C120:C121" si="311">SUM(D120:AM120)</f>
        <v>22508695.596423686</v>
      </c>
      <c r="D120" s="1140">
        <f t="shared" ref="D120:AM120" si="312">D94*D$169</f>
        <v>0</v>
      </c>
      <c r="E120" s="1140">
        <f t="shared" si="312"/>
        <v>2376318.7902123365</v>
      </c>
      <c r="F120" s="1140">
        <f t="shared" si="312"/>
        <v>15426550.473428482</v>
      </c>
      <c r="G120" s="1140">
        <f t="shared" si="312"/>
        <v>0</v>
      </c>
      <c r="H120" s="1140">
        <f t="shared" si="312"/>
        <v>0</v>
      </c>
      <c r="I120" s="1140">
        <f t="shared" si="312"/>
        <v>4705826.3327828702</v>
      </c>
      <c r="J120" s="1140">
        <f t="shared" si="312"/>
        <v>0</v>
      </c>
      <c r="K120" s="1140">
        <f t="shared" si="312"/>
        <v>0</v>
      </c>
      <c r="L120" s="1140">
        <f t="shared" si="312"/>
        <v>0</v>
      </c>
      <c r="M120" s="1140">
        <f t="shared" si="312"/>
        <v>0</v>
      </c>
      <c r="N120" s="1140">
        <f t="shared" si="312"/>
        <v>0</v>
      </c>
      <c r="O120" s="1140">
        <f t="shared" si="312"/>
        <v>0</v>
      </c>
      <c r="P120" s="1140">
        <f t="shared" si="312"/>
        <v>0</v>
      </c>
      <c r="Q120" s="1140">
        <f t="shared" si="312"/>
        <v>0</v>
      </c>
      <c r="R120" s="1140">
        <f t="shared" si="312"/>
        <v>0</v>
      </c>
      <c r="S120" s="1140">
        <f t="shared" si="312"/>
        <v>0</v>
      </c>
      <c r="T120" s="1140">
        <f t="shared" si="312"/>
        <v>0</v>
      </c>
      <c r="U120" s="1140">
        <f t="shared" si="312"/>
        <v>0</v>
      </c>
      <c r="V120" s="1140">
        <f t="shared" si="312"/>
        <v>0</v>
      </c>
      <c r="W120" s="1140">
        <f t="shared" si="312"/>
        <v>0</v>
      </c>
      <c r="X120" s="1140">
        <f t="shared" si="312"/>
        <v>0</v>
      </c>
      <c r="Y120" s="1140">
        <f t="shared" si="312"/>
        <v>0</v>
      </c>
      <c r="Z120" s="1140">
        <f t="shared" si="312"/>
        <v>0</v>
      </c>
      <c r="AA120" s="1140">
        <f t="shared" si="312"/>
        <v>0</v>
      </c>
      <c r="AB120" s="1140">
        <f t="shared" si="312"/>
        <v>0</v>
      </c>
      <c r="AC120" s="1140">
        <f t="shared" si="312"/>
        <v>0</v>
      </c>
      <c r="AD120" s="1140">
        <f t="shared" si="312"/>
        <v>0</v>
      </c>
      <c r="AE120" s="1140">
        <f t="shared" si="312"/>
        <v>0</v>
      </c>
      <c r="AF120" s="1140">
        <f t="shared" si="312"/>
        <v>0</v>
      </c>
      <c r="AG120" s="1140">
        <f t="shared" si="312"/>
        <v>0</v>
      </c>
      <c r="AH120" s="1140">
        <f t="shared" si="312"/>
        <v>0</v>
      </c>
      <c r="AI120" s="1140">
        <f t="shared" si="312"/>
        <v>0</v>
      </c>
      <c r="AJ120" s="1140">
        <f t="shared" si="312"/>
        <v>0</v>
      </c>
      <c r="AK120" s="1140">
        <f t="shared" si="312"/>
        <v>0</v>
      </c>
      <c r="AL120" s="1140">
        <f t="shared" si="312"/>
        <v>0</v>
      </c>
      <c r="AM120" s="1140">
        <f t="shared" si="312"/>
        <v>0</v>
      </c>
    </row>
    <row r="121" spans="2:39" ht="15.05" customHeight="1" x14ac:dyDescent="0.25">
      <c r="B121" s="667" t="s">
        <v>583</v>
      </c>
      <c r="C121" s="1137">
        <f t="shared" si="311"/>
        <v>0</v>
      </c>
      <c r="D121" s="1140">
        <f t="shared" ref="D121:AM121" si="313">D95*D$169</f>
        <v>0</v>
      </c>
      <c r="E121" s="1140">
        <f t="shared" si="313"/>
        <v>0</v>
      </c>
      <c r="F121" s="1140">
        <f t="shared" si="313"/>
        <v>0</v>
      </c>
      <c r="G121" s="1140">
        <f t="shared" si="313"/>
        <v>0</v>
      </c>
      <c r="H121" s="1140">
        <f t="shared" si="313"/>
        <v>0</v>
      </c>
      <c r="I121" s="1140">
        <f t="shared" si="313"/>
        <v>0</v>
      </c>
      <c r="J121" s="1140">
        <f t="shared" si="313"/>
        <v>0</v>
      </c>
      <c r="K121" s="1140">
        <f t="shared" si="313"/>
        <v>0</v>
      </c>
      <c r="L121" s="1140">
        <f t="shared" si="313"/>
        <v>0</v>
      </c>
      <c r="M121" s="1140">
        <f t="shared" si="313"/>
        <v>0</v>
      </c>
      <c r="N121" s="1140">
        <f t="shared" si="313"/>
        <v>0</v>
      </c>
      <c r="O121" s="1140">
        <f t="shared" si="313"/>
        <v>0</v>
      </c>
      <c r="P121" s="1140">
        <f t="shared" si="313"/>
        <v>0</v>
      </c>
      <c r="Q121" s="1140">
        <f t="shared" si="313"/>
        <v>0</v>
      </c>
      <c r="R121" s="1140">
        <f t="shared" si="313"/>
        <v>0</v>
      </c>
      <c r="S121" s="1140">
        <f t="shared" si="313"/>
        <v>0</v>
      </c>
      <c r="T121" s="1140">
        <f t="shared" si="313"/>
        <v>0</v>
      </c>
      <c r="U121" s="1140">
        <f t="shared" si="313"/>
        <v>0</v>
      </c>
      <c r="V121" s="1140">
        <f t="shared" si="313"/>
        <v>0</v>
      </c>
      <c r="W121" s="1140">
        <f t="shared" si="313"/>
        <v>0</v>
      </c>
      <c r="X121" s="1140">
        <f t="shared" si="313"/>
        <v>0</v>
      </c>
      <c r="Y121" s="1140">
        <f t="shared" si="313"/>
        <v>0</v>
      </c>
      <c r="Z121" s="1140">
        <f t="shared" si="313"/>
        <v>0</v>
      </c>
      <c r="AA121" s="1140">
        <f t="shared" si="313"/>
        <v>0</v>
      </c>
      <c r="AB121" s="1140">
        <f t="shared" si="313"/>
        <v>0</v>
      </c>
      <c r="AC121" s="1140">
        <f t="shared" si="313"/>
        <v>0</v>
      </c>
      <c r="AD121" s="1140">
        <f t="shared" si="313"/>
        <v>0</v>
      </c>
      <c r="AE121" s="1140">
        <f t="shared" si="313"/>
        <v>0</v>
      </c>
      <c r="AF121" s="1140">
        <f t="shared" si="313"/>
        <v>0</v>
      </c>
      <c r="AG121" s="1140">
        <f t="shared" si="313"/>
        <v>0</v>
      </c>
      <c r="AH121" s="1140">
        <f t="shared" si="313"/>
        <v>0</v>
      </c>
      <c r="AI121" s="1140">
        <f t="shared" si="313"/>
        <v>0</v>
      </c>
      <c r="AJ121" s="1140">
        <f t="shared" si="313"/>
        <v>0</v>
      </c>
      <c r="AK121" s="1140">
        <f t="shared" si="313"/>
        <v>0</v>
      </c>
      <c r="AL121" s="1140">
        <f t="shared" si="313"/>
        <v>0</v>
      </c>
      <c r="AM121" s="1140">
        <f t="shared" si="313"/>
        <v>0</v>
      </c>
    </row>
    <row r="122" spans="2:39" ht="15.05" customHeight="1" x14ac:dyDescent="0.25">
      <c r="B122" s="668" t="s">
        <v>570</v>
      </c>
      <c r="C122" s="1144">
        <f>SUM(D122:AM122)</f>
        <v>22508695.596423686</v>
      </c>
      <c r="D122" s="1144">
        <f t="shared" ref="D122:F122" si="314">SUM(D120:D121)</f>
        <v>0</v>
      </c>
      <c r="E122" s="1144">
        <f t="shared" si="314"/>
        <v>2376318.7902123365</v>
      </c>
      <c r="F122" s="1144">
        <f t="shared" si="314"/>
        <v>15426550.473428482</v>
      </c>
      <c r="G122" s="1144">
        <f>SUM(G120:G121)</f>
        <v>0</v>
      </c>
      <c r="H122" s="1144">
        <f t="shared" ref="H122:AM122" si="315">SUM(H120:H121)</f>
        <v>0</v>
      </c>
      <c r="I122" s="1144">
        <f t="shared" si="315"/>
        <v>4705826.3327828702</v>
      </c>
      <c r="J122" s="1144">
        <f t="shared" si="315"/>
        <v>0</v>
      </c>
      <c r="K122" s="1144">
        <f t="shared" si="315"/>
        <v>0</v>
      </c>
      <c r="L122" s="1144">
        <f t="shared" si="315"/>
        <v>0</v>
      </c>
      <c r="M122" s="1144">
        <f t="shared" si="315"/>
        <v>0</v>
      </c>
      <c r="N122" s="1144">
        <f t="shared" si="315"/>
        <v>0</v>
      </c>
      <c r="O122" s="1144">
        <f t="shared" si="315"/>
        <v>0</v>
      </c>
      <c r="P122" s="1144">
        <f t="shared" si="315"/>
        <v>0</v>
      </c>
      <c r="Q122" s="1144">
        <f t="shared" si="315"/>
        <v>0</v>
      </c>
      <c r="R122" s="1144">
        <f t="shared" si="315"/>
        <v>0</v>
      </c>
      <c r="S122" s="1144">
        <f t="shared" si="315"/>
        <v>0</v>
      </c>
      <c r="T122" s="1144">
        <f t="shared" si="315"/>
        <v>0</v>
      </c>
      <c r="U122" s="1144">
        <f t="shared" si="315"/>
        <v>0</v>
      </c>
      <c r="V122" s="1144">
        <f t="shared" si="315"/>
        <v>0</v>
      </c>
      <c r="W122" s="1144">
        <f t="shared" si="315"/>
        <v>0</v>
      </c>
      <c r="X122" s="1144">
        <f t="shared" si="315"/>
        <v>0</v>
      </c>
      <c r="Y122" s="1144">
        <f t="shared" si="315"/>
        <v>0</v>
      </c>
      <c r="Z122" s="1144">
        <f t="shared" si="315"/>
        <v>0</v>
      </c>
      <c r="AA122" s="1144">
        <f t="shared" si="315"/>
        <v>0</v>
      </c>
      <c r="AB122" s="1144">
        <f t="shared" si="315"/>
        <v>0</v>
      </c>
      <c r="AC122" s="1144">
        <f t="shared" si="315"/>
        <v>0</v>
      </c>
      <c r="AD122" s="1144">
        <f t="shared" si="315"/>
        <v>0</v>
      </c>
      <c r="AE122" s="1144">
        <f t="shared" si="315"/>
        <v>0</v>
      </c>
      <c r="AF122" s="1144">
        <f t="shared" si="315"/>
        <v>0</v>
      </c>
      <c r="AG122" s="1144">
        <f t="shared" si="315"/>
        <v>0</v>
      </c>
      <c r="AH122" s="1144">
        <f t="shared" si="315"/>
        <v>0</v>
      </c>
      <c r="AI122" s="1144">
        <f t="shared" si="315"/>
        <v>0</v>
      </c>
      <c r="AJ122" s="1144">
        <f t="shared" si="315"/>
        <v>0</v>
      </c>
      <c r="AK122" s="1145">
        <f t="shared" si="315"/>
        <v>0</v>
      </c>
      <c r="AL122" s="1145">
        <f t="shared" si="315"/>
        <v>0</v>
      </c>
      <c r="AM122" s="1145">
        <f t="shared" si="315"/>
        <v>0</v>
      </c>
    </row>
    <row r="123" spans="2:39" ht="15.05" customHeight="1" x14ac:dyDescent="0.25">
      <c r="B123" s="726" t="s">
        <v>612</v>
      </c>
      <c r="C123" s="1146">
        <f>SUM(D123:AM123)</f>
        <v>-18942332.415000226</v>
      </c>
      <c r="D123" s="1146">
        <f>D119-D122</f>
        <v>0</v>
      </c>
      <c r="E123" s="1146">
        <f t="shared" ref="E123:AM123" si="316">E119-E122</f>
        <v>-2376318.7902123365</v>
      </c>
      <c r="F123" s="1146">
        <f t="shared" si="316"/>
        <v>-15426550.473428482</v>
      </c>
      <c r="G123" s="1146">
        <f t="shared" si="316"/>
        <v>0</v>
      </c>
      <c r="H123" s="1146">
        <f t="shared" si="316"/>
        <v>0</v>
      </c>
      <c r="I123" s="1146">
        <f t="shared" si="316"/>
        <v>-4705826.3327828702</v>
      </c>
      <c r="J123" s="1146">
        <f t="shared" si="316"/>
        <v>5767.9702463668946</v>
      </c>
      <c r="K123" s="1146">
        <f t="shared" si="316"/>
        <v>5599.9711129775678</v>
      </c>
      <c r="L123" s="1146">
        <f t="shared" si="316"/>
        <v>5436.8651582306484</v>
      </c>
      <c r="M123" s="1146">
        <f t="shared" si="316"/>
        <v>5278.5098623598533</v>
      </c>
      <c r="N123" s="1146">
        <f t="shared" si="316"/>
        <v>5124.7668566600514</v>
      </c>
      <c r="O123" s="1146">
        <f t="shared" si="316"/>
        <v>4975.5018025825757</v>
      </c>
      <c r="P123" s="1146">
        <f t="shared" si="316"/>
        <v>4830.5842743520152</v>
      </c>
      <c r="Q123" s="1146">
        <f t="shared" si="316"/>
        <v>4689.8876450019552</v>
      </c>
      <c r="R123" s="1146">
        <f t="shared" si="316"/>
        <v>4553.2889757300527</v>
      </c>
      <c r="S123" s="1146">
        <f t="shared" si="316"/>
        <v>4420.66890847578</v>
      </c>
      <c r="T123" s="1146">
        <f t="shared" si="316"/>
        <v>4291.9115616269719</v>
      </c>
      <c r="U123" s="1146">
        <f t="shared" si="316"/>
        <v>4166.90442876405</v>
      </c>
      <c r="V123" s="1146">
        <f t="shared" si="316"/>
        <v>4045.5382803534467</v>
      </c>
      <c r="W123" s="1146">
        <f t="shared" si="316"/>
        <v>3927.7070683043175</v>
      </c>
      <c r="X123" s="1146">
        <f t="shared" si="316"/>
        <v>3813.3078333051626</v>
      </c>
      <c r="Y123" s="1146">
        <f t="shared" si="316"/>
        <v>3702.2406148593814</v>
      </c>
      <c r="Z123" s="1146">
        <f t="shared" si="316"/>
        <v>3594.4083639411469</v>
      </c>
      <c r="AA123" s="1146">
        <f t="shared" si="316"/>
        <v>3489.7168581952883</v>
      </c>
      <c r="AB123" s="1146">
        <f t="shared" si="316"/>
        <v>3388.0746196070759</v>
      </c>
      <c r="AC123" s="1146">
        <f t="shared" si="316"/>
        <v>3289.3928345699769</v>
      </c>
      <c r="AD123" s="1146">
        <f t="shared" si="316"/>
        <v>3193.5852762815307</v>
      </c>
      <c r="AE123" s="1146">
        <f t="shared" si="316"/>
        <v>3100.5682293995451</v>
      </c>
      <c r="AF123" s="1146">
        <f t="shared" si="316"/>
        <v>3010.2604168927624</v>
      </c>
      <c r="AG123" s="1146">
        <f t="shared" si="316"/>
        <v>2922.5829290220991</v>
      </c>
      <c r="AH123" s="1146">
        <f t="shared" si="316"/>
        <v>2837.4591543903871</v>
      </c>
      <c r="AI123" s="1146">
        <f t="shared" si="316"/>
        <v>2754.8147130003763</v>
      </c>
      <c r="AJ123" s="1146">
        <f t="shared" si="316"/>
        <v>2674.5773912625009</v>
      </c>
      <c r="AK123" s="1147">
        <f t="shared" si="316"/>
        <v>2596.6770788956328</v>
      </c>
      <c r="AL123" s="1147">
        <f t="shared" si="316"/>
        <v>2521.0457076656621</v>
      </c>
      <c r="AM123" s="1147">
        <f t="shared" si="316"/>
        <v>3452364.3932203799</v>
      </c>
    </row>
    <row r="124" spans="2:39" ht="15.05" customHeight="1" x14ac:dyDescent="0.25">
      <c r="B124" s="727" t="s">
        <v>613</v>
      </c>
      <c r="C124" s="1148"/>
      <c r="D124" s="1148">
        <f>D123</f>
        <v>0</v>
      </c>
      <c r="E124" s="1148">
        <f>D124+E123</f>
        <v>-2376318.7902123365</v>
      </c>
      <c r="F124" s="1148">
        <f t="shared" ref="F124" si="317">E124+F123</f>
        <v>-17802869.263640817</v>
      </c>
      <c r="G124" s="1148">
        <f t="shared" ref="G124" si="318">F124+G123</f>
        <v>-17802869.263640817</v>
      </c>
      <c r="H124" s="1148">
        <f t="shared" ref="H124" si="319">G124+H123</f>
        <v>-17802869.263640817</v>
      </c>
      <c r="I124" s="1148">
        <f t="shared" ref="I124" si="320">H124+I123</f>
        <v>-22508695.596423686</v>
      </c>
      <c r="J124" s="1148">
        <f t="shared" ref="J124" si="321">I124+J123</f>
        <v>-22502927.626177318</v>
      </c>
      <c r="K124" s="1148">
        <f t="shared" ref="K124" si="322">J124+K123</f>
        <v>-22497327.655064341</v>
      </c>
      <c r="L124" s="1148">
        <f t="shared" ref="L124" si="323">K124+L123</f>
        <v>-22491890.789906111</v>
      </c>
      <c r="M124" s="1148">
        <f t="shared" ref="M124" si="324">L124+M123</f>
        <v>-22486612.280043751</v>
      </c>
      <c r="N124" s="1148">
        <f t="shared" ref="N124" si="325">M124+N123</f>
        <v>-22481487.513187092</v>
      </c>
      <c r="O124" s="1148">
        <f t="shared" ref="O124" si="326">N124+O123</f>
        <v>-22476512.01138451</v>
      </c>
      <c r="P124" s="1148">
        <f t="shared" ref="P124" si="327">O124+P123</f>
        <v>-22471681.427110158</v>
      </c>
      <c r="Q124" s="1148">
        <f t="shared" ref="Q124" si="328">P124+Q123</f>
        <v>-22466991.539465155</v>
      </c>
      <c r="R124" s="1148">
        <f t="shared" ref="R124" si="329">Q124+R123</f>
        <v>-22462438.250489425</v>
      </c>
      <c r="S124" s="1148">
        <f t="shared" ref="S124" si="330">R124+S123</f>
        <v>-22458017.581580948</v>
      </c>
      <c r="T124" s="1148">
        <f t="shared" ref="T124" si="331">S124+T123</f>
        <v>-22453725.670019321</v>
      </c>
      <c r="U124" s="1148">
        <f t="shared" ref="U124" si="332">T124+U123</f>
        <v>-22449558.765590556</v>
      </c>
      <c r="V124" s="1148">
        <f t="shared" ref="V124" si="333">U124+V123</f>
        <v>-22445513.227310203</v>
      </c>
      <c r="W124" s="1148">
        <f t="shared" ref="W124" si="334">V124+W123</f>
        <v>-22441585.520241898</v>
      </c>
      <c r="X124" s="1148">
        <f t="shared" ref="X124" si="335">W124+X123</f>
        <v>-22437772.212408591</v>
      </c>
      <c r="Y124" s="1148">
        <f t="shared" ref="Y124" si="336">X124+Y123</f>
        <v>-22434069.971793734</v>
      </c>
      <c r="Z124" s="1148">
        <f>Y124+Z123</f>
        <v>-22430475.563429791</v>
      </c>
      <c r="AA124" s="1148">
        <f>Z124+AA123</f>
        <v>-22426985.846571594</v>
      </c>
      <c r="AB124" s="1148">
        <f t="shared" ref="AB124" si="337">AA124+AB123</f>
        <v>-22423597.771951988</v>
      </c>
      <c r="AC124" s="1148">
        <f t="shared" ref="AC124" si="338">AB124+AC123</f>
        <v>-22420308.379117418</v>
      </c>
      <c r="AD124" s="1148">
        <f t="shared" ref="AD124" si="339">AC124+AD123</f>
        <v>-22417114.793841135</v>
      </c>
      <c r="AE124" s="1148">
        <f t="shared" ref="AE124" si="340">AD124+AE123</f>
        <v>-22414014.225611735</v>
      </c>
      <c r="AF124" s="1148">
        <f t="shared" ref="AF124" si="341">AE124+AF123</f>
        <v>-22411003.965194844</v>
      </c>
      <c r="AG124" s="1148">
        <f t="shared" ref="AG124" si="342">AF124+AG123</f>
        <v>-22408081.382265821</v>
      </c>
      <c r="AH124" s="1148">
        <f t="shared" ref="AH124" si="343">AG124+AH123</f>
        <v>-22405243.923111431</v>
      </c>
      <c r="AI124" s="1148">
        <f t="shared" ref="AI124" si="344">AH124+AI123</f>
        <v>-22402489.10839843</v>
      </c>
      <c r="AJ124" s="1148">
        <f t="shared" ref="AJ124" si="345">AI124+AJ123</f>
        <v>-22399814.531007167</v>
      </c>
      <c r="AK124" s="1149">
        <f t="shared" ref="AK124" si="346">AJ124+AK123</f>
        <v>-22397217.853928272</v>
      </c>
      <c r="AL124" s="1149">
        <f t="shared" ref="AL124" si="347">AK124+AL123</f>
        <v>-22394696.808220606</v>
      </c>
      <c r="AM124" s="1149">
        <f t="shared" ref="AM124" si="348">AL124+AM123</f>
        <v>-18942332.415000226</v>
      </c>
    </row>
    <row r="125" spans="2:39" s="657" customFormat="1" ht="15.05" customHeight="1" x14ac:dyDescent="0.25">
      <c r="B125" s="935"/>
      <c r="C125" s="1150"/>
      <c r="D125" s="1150"/>
      <c r="E125" s="1150"/>
      <c r="F125" s="1150"/>
      <c r="G125" s="1150"/>
      <c r="H125" s="1150"/>
      <c r="I125" s="1150"/>
      <c r="J125" s="1150"/>
      <c r="K125" s="1150"/>
      <c r="L125" s="1150"/>
      <c r="M125" s="1150"/>
      <c r="N125" s="1150"/>
      <c r="O125" s="1150"/>
      <c r="P125" s="1150"/>
      <c r="Q125" s="1150"/>
      <c r="R125" s="1150"/>
      <c r="S125" s="1150"/>
      <c r="T125" s="1150"/>
      <c r="U125" s="1150"/>
      <c r="V125" s="1150"/>
      <c r="W125" s="1150"/>
      <c r="X125" s="1150"/>
      <c r="Y125" s="1150"/>
      <c r="Z125" s="1150"/>
      <c r="AA125" s="1150"/>
      <c r="AB125" s="1150"/>
      <c r="AC125" s="1150"/>
      <c r="AD125" s="1150"/>
      <c r="AE125" s="1150"/>
      <c r="AF125" s="1150"/>
      <c r="AG125" s="1150"/>
      <c r="AH125" s="1150"/>
      <c r="AI125" s="1150"/>
      <c r="AJ125" s="1150"/>
      <c r="AK125" s="1150"/>
      <c r="AL125" s="1150"/>
      <c r="AM125" s="1150"/>
    </row>
    <row r="126" spans="2:39" x14ac:dyDescent="0.25">
      <c r="B126" s="936" t="s">
        <v>903</v>
      </c>
      <c r="C126" s="1153"/>
      <c r="D126" s="1153"/>
      <c r="E126" s="1153"/>
      <c r="F126" s="1153"/>
      <c r="G126" s="1153"/>
      <c r="H126" s="1153"/>
      <c r="I126" s="1153"/>
      <c r="J126" s="1153"/>
      <c r="K126" s="1153"/>
      <c r="L126" s="1153"/>
      <c r="M126" s="1153"/>
      <c r="N126" s="1153"/>
      <c r="O126" s="1153"/>
      <c r="P126" s="1153"/>
      <c r="Q126" s="1153"/>
      <c r="R126" s="1153"/>
      <c r="S126" s="1153"/>
      <c r="T126" s="1153"/>
      <c r="U126" s="1153"/>
      <c r="V126" s="1153"/>
      <c r="W126" s="1153"/>
      <c r="X126" s="1153"/>
      <c r="Y126" s="1153"/>
      <c r="Z126" s="1153"/>
      <c r="AA126" s="1153"/>
      <c r="AB126" s="1153"/>
      <c r="AC126" s="1153"/>
      <c r="AD126" s="1153"/>
      <c r="AE126" s="1153"/>
      <c r="AF126" s="1153"/>
      <c r="AG126" s="1153"/>
      <c r="AH126" s="1153"/>
      <c r="AI126" s="1153"/>
      <c r="AJ126" s="1153"/>
      <c r="AK126" s="1153"/>
      <c r="AL126" s="1153"/>
      <c r="AM126" s="1153"/>
    </row>
    <row r="127" spans="2:39" x14ac:dyDescent="0.25">
      <c r="B127" s="725" t="s">
        <v>581</v>
      </c>
      <c r="C127" s="1151" t="s">
        <v>393</v>
      </c>
      <c r="D127" s="1151">
        <v>2019</v>
      </c>
      <c r="E127" s="1151">
        <f>D127+1</f>
        <v>2020</v>
      </c>
      <c r="F127" s="1151">
        <f t="shared" ref="F127" si="349">E127+1</f>
        <v>2021</v>
      </c>
      <c r="G127" s="1151">
        <f t="shared" ref="G127" si="350">F127+1</f>
        <v>2022</v>
      </c>
      <c r="H127" s="1151">
        <f t="shared" ref="H127" si="351">G127+1</f>
        <v>2023</v>
      </c>
      <c r="I127" s="1151">
        <f t="shared" ref="I127" si="352">H127+1</f>
        <v>2024</v>
      </c>
      <c r="J127" s="1151">
        <f t="shared" ref="J127" si="353">I127+1</f>
        <v>2025</v>
      </c>
      <c r="K127" s="1151">
        <f t="shared" ref="K127" si="354">J127+1</f>
        <v>2026</v>
      </c>
      <c r="L127" s="1151">
        <f t="shared" ref="L127" si="355">K127+1</f>
        <v>2027</v>
      </c>
      <c r="M127" s="1151">
        <f t="shared" ref="M127" si="356">L127+1</f>
        <v>2028</v>
      </c>
      <c r="N127" s="1151">
        <f t="shared" ref="N127" si="357">M127+1</f>
        <v>2029</v>
      </c>
      <c r="O127" s="1151">
        <f t="shared" ref="O127" si="358">N127+1</f>
        <v>2030</v>
      </c>
      <c r="P127" s="1151">
        <f t="shared" ref="P127" si="359">O127+1</f>
        <v>2031</v>
      </c>
      <c r="Q127" s="1151">
        <f t="shared" ref="Q127" si="360">P127+1</f>
        <v>2032</v>
      </c>
      <c r="R127" s="1151">
        <f t="shared" ref="R127" si="361">Q127+1</f>
        <v>2033</v>
      </c>
      <c r="S127" s="1151">
        <f t="shared" ref="S127" si="362">R127+1</f>
        <v>2034</v>
      </c>
      <c r="T127" s="1151">
        <f t="shared" ref="T127" si="363">S127+1</f>
        <v>2035</v>
      </c>
      <c r="U127" s="1151">
        <f t="shared" ref="U127" si="364">T127+1</f>
        <v>2036</v>
      </c>
      <c r="V127" s="1151">
        <f t="shared" ref="V127" si="365">U127+1</f>
        <v>2037</v>
      </c>
      <c r="W127" s="1151">
        <f t="shared" ref="W127" si="366">V127+1</f>
        <v>2038</v>
      </c>
      <c r="X127" s="1151">
        <f t="shared" ref="X127" si="367">W127+1</f>
        <v>2039</v>
      </c>
      <c r="Y127" s="1151">
        <f t="shared" ref="Y127" si="368">X127+1</f>
        <v>2040</v>
      </c>
      <c r="Z127" s="1151">
        <f t="shared" ref="Z127" si="369">Y127+1</f>
        <v>2041</v>
      </c>
      <c r="AA127" s="1151">
        <f t="shared" ref="AA127" si="370">Z127+1</f>
        <v>2042</v>
      </c>
      <c r="AB127" s="1151">
        <f t="shared" ref="AB127" si="371">AA127+1</f>
        <v>2043</v>
      </c>
      <c r="AC127" s="1151">
        <f t="shared" ref="AC127" si="372">AB127+1</f>
        <v>2044</v>
      </c>
      <c r="AD127" s="1151">
        <f t="shared" ref="AD127" si="373">AC127+1</f>
        <v>2045</v>
      </c>
      <c r="AE127" s="1151">
        <f t="shared" ref="AE127" si="374">AD127+1</f>
        <v>2046</v>
      </c>
      <c r="AF127" s="1151">
        <f t="shared" ref="AF127" si="375">AE127+1</f>
        <v>2047</v>
      </c>
      <c r="AG127" s="1151">
        <f t="shared" ref="AG127" si="376">AF127+1</f>
        <v>2048</v>
      </c>
      <c r="AH127" s="1151">
        <f t="shared" ref="AH127" si="377">AG127+1</f>
        <v>2049</v>
      </c>
      <c r="AI127" s="1151">
        <f t="shared" ref="AI127" si="378">AH127+1</f>
        <v>2050</v>
      </c>
      <c r="AJ127" s="1151">
        <f t="shared" ref="AJ127" si="379">AI127+1</f>
        <v>2051</v>
      </c>
      <c r="AK127" s="1151">
        <f t="shared" ref="AK127" si="380">AJ127+1</f>
        <v>2052</v>
      </c>
      <c r="AL127" s="1151">
        <f t="shared" ref="AL127" si="381">AK127+1</f>
        <v>2053</v>
      </c>
      <c r="AM127" s="1152">
        <f t="shared" ref="AM127" si="382">AL127+1</f>
        <v>2054</v>
      </c>
    </row>
    <row r="128" spans="2:39" x14ac:dyDescent="0.25">
      <c r="B128" s="1073" t="s">
        <v>994</v>
      </c>
      <c r="C128" s="1137">
        <f t="shared" ref="C128:C132" si="383">SUM(D128:AM128)</f>
        <v>139692356.4198226</v>
      </c>
      <c r="D128" s="1140">
        <f t="shared" ref="D128:AM128" si="384">D31</f>
        <v>0</v>
      </c>
      <c r="E128" s="1140">
        <f t="shared" si="384"/>
        <v>0</v>
      </c>
      <c r="F128" s="1140">
        <f t="shared" si="384"/>
        <v>0</v>
      </c>
      <c r="G128" s="1140">
        <f t="shared" si="384"/>
        <v>0</v>
      </c>
      <c r="H128" s="1140">
        <f t="shared" si="384"/>
        <v>0</v>
      </c>
      <c r="I128" s="1140">
        <f t="shared" si="384"/>
        <v>0</v>
      </c>
      <c r="J128" s="1140">
        <f t="shared" si="384"/>
        <v>4656411.8806607518</v>
      </c>
      <c r="K128" s="1140">
        <f t="shared" si="384"/>
        <v>4656411.8806607518</v>
      </c>
      <c r="L128" s="1140">
        <f t="shared" si="384"/>
        <v>4656411.8806607518</v>
      </c>
      <c r="M128" s="1140">
        <f t="shared" si="384"/>
        <v>4656411.8806607518</v>
      </c>
      <c r="N128" s="1140">
        <f t="shared" si="384"/>
        <v>4656411.8806607518</v>
      </c>
      <c r="O128" s="1140">
        <f t="shared" si="384"/>
        <v>4656411.8806607518</v>
      </c>
      <c r="P128" s="1140">
        <f t="shared" si="384"/>
        <v>4656411.8806607518</v>
      </c>
      <c r="Q128" s="1140">
        <f t="shared" si="384"/>
        <v>4656411.8806607518</v>
      </c>
      <c r="R128" s="1140">
        <f t="shared" si="384"/>
        <v>4656411.8806607518</v>
      </c>
      <c r="S128" s="1140">
        <f t="shared" si="384"/>
        <v>4656411.8806607518</v>
      </c>
      <c r="T128" s="1140">
        <f t="shared" si="384"/>
        <v>4656411.8806607518</v>
      </c>
      <c r="U128" s="1140">
        <f t="shared" si="384"/>
        <v>4656411.8806607518</v>
      </c>
      <c r="V128" s="1140">
        <f t="shared" si="384"/>
        <v>4656411.8806607518</v>
      </c>
      <c r="W128" s="1140">
        <f t="shared" si="384"/>
        <v>4656411.8806607518</v>
      </c>
      <c r="X128" s="1140">
        <f t="shared" si="384"/>
        <v>4656411.8806607518</v>
      </c>
      <c r="Y128" s="1140">
        <f t="shared" si="384"/>
        <v>4656411.8806607518</v>
      </c>
      <c r="Z128" s="1140">
        <f t="shared" si="384"/>
        <v>4656411.8806607518</v>
      </c>
      <c r="AA128" s="1140">
        <f t="shared" si="384"/>
        <v>4656411.8806607518</v>
      </c>
      <c r="AB128" s="1140">
        <f t="shared" si="384"/>
        <v>4656411.8806607518</v>
      </c>
      <c r="AC128" s="1140">
        <f t="shared" si="384"/>
        <v>4656411.8806607518</v>
      </c>
      <c r="AD128" s="1140">
        <f t="shared" si="384"/>
        <v>4656411.8806607518</v>
      </c>
      <c r="AE128" s="1140">
        <f t="shared" si="384"/>
        <v>4656411.8806607518</v>
      </c>
      <c r="AF128" s="1140">
        <f t="shared" si="384"/>
        <v>4656411.8806607518</v>
      </c>
      <c r="AG128" s="1140">
        <f t="shared" si="384"/>
        <v>4656411.8806607518</v>
      </c>
      <c r="AH128" s="1140">
        <f t="shared" si="384"/>
        <v>4656411.8806607518</v>
      </c>
      <c r="AI128" s="1140">
        <f t="shared" si="384"/>
        <v>4656411.8806607518</v>
      </c>
      <c r="AJ128" s="1140">
        <f t="shared" si="384"/>
        <v>4656411.8806607518</v>
      </c>
      <c r="AK128" s="1140">
        <f t="shared" si="384"/>
        <v>4656411.8806607518</v>
      </c>
      <c r="AL128" s="1140">
        <f t="shared" si="384"/>
        <v>4656411.8806607518</v>
      </c>
      <c r="AM128" s="1141">
        <f t="shared" si="384"/>
        <v>4656411.8806607518</v>
      </c>
    </row>
    <row r="129" spans="2:39" x14ac:dyDescent="0.25">
      <c r="B129" s="1073" t="s">
        <v>1017</v>
      </c>
      <c r="C129" s="1137">
        <f t="shared" si="383"/>
        <v>917152.03688382381</v>
      </c>
      <c r="D129" s="1140">
        <f t="shared" ref="D129:AM129" si="385">D32</f>
        <v>0</v>
      </c>
      <c r="E129" s="1140">
        <f t="shared" si="385"/>
        <v>0</v>
      </c>
      <c r="F129" s="1140">
        <f t="shared" si="385"/>
        <v>0</v>
      </c>
      <c r="G129" s="1140">
        <f t="shared" si="385"/>
        <v>0</v>
      </c>
      <c r="H129" s="1140">
        <f t="shared" si="385"/>
        <v>0</v>
      </c>
      <c r="I129" s="1140">
        <f t="shared" si="385"/>
        <v>0</v>
      </c>
      <c r="J129" s="1140">
        <f t="shared" si="385"/>
        <v>30571.734562794139</v>
      </c>
      <c r="K129" s="1140">
        <f t="shared" si="385"/>
        <v>30571.734562794139</v>
      </c>
      <c r="L129" s="1140">
        <f t="shared" si="385"/>
        <v>30571.734562794139</v>
      </c>
      <c r="M129" s="1140">
        <f t="shared" si="385"/>
        <v>30571.734562794139</v>
      </c>
      <c r="N129" s="1140">
        <f t="shared" si="385"/>
        <v>30571.734562794139</v>
      </c>
      <c r="O129" s="1140">
        <f t="shared" si="385"/>
        <v>30571.734562794139</v>
      </c>
      <c r="P129" s="1140">
        <f t="shared" si="385"/>
        <v>30571.734562794139</v>
      </c>
      <c r="Q129" s="1140">
        <f t="shared" si="385"/>
        <v>30571.734562794139</v>
      </c>
      <c r="R129" s="1140">
        <f t="shared" si="385"/>
        <v>30571.734562794139</v>
      </c>
      <c r="S129" s="1140">
        <f t="shared" si="385"/>
        <v>30571.734562794139</v>
      </c>
      <c r="T129" s="1140">
        <f t="shared" si="385"/>
        <v>30571.734562794139</v>
      </c>
      <c r="U129" s="1140">
        <f t="shared" si="385"/>
        <v>30571.734562794139</v>
      </c>
      <c r="V129" s="1140">
        <f t="shared" si="385"/>
        <v>30571.734562794139</v>
      </c>
      <c r="W129" s="1140">
        <f t="shared" si="385"/>
        <v>30571.734562794139</v>
      </c>
      <c r="X129" s="1140">
        <f t="shared" si="385"/>
        <v>30571.734562794139</v>
      </c>
      <c r="Y129" s="1140">
        <f t="shared" si="385"/>
        <v>30571.734562794139</v>
      </c>
      <c r="Z129" s="1140">
        <f t="shared" si="385"/>
        <v>30571.734562794139</v>
      </c>
      <c r="AA129" s="1140">
        <f t="shared" si="385"/>
        <v>30571.734562794139</v>
      </c>
      <c r="AB129" s="1140">
        <f t="shared" si="385"/>
        <v>30571.734562794139</v>
      </c>
      <c r="AC129" s="1140">
        <f t="shared" si="385"/>
        <v>30571.734562794139</v>
      </c>
      <c r="AD129" s="1140">
        <f t="shared" si="385"/>
        <v>30571.734562794139</v>
      </c>
      <c r="AE129" s="1140">
        <f t="shared" si="385"/>
        <v>30571.734562794139</v>
      </c>
      <c r="AF129" s="1140">
        <f t="shared" si="385"/>
        <v>30571.734562794139</v>
      </c>
      <c r="AG129" s="1140">
        <f t="shared" si="385"/>
        <v>30571.734562794139</v>
      </c>
      <c r="AH129" s="1140">
        <f t="shared" si="385"/>
        <v>30571.734562794139</v>
      </c>
      <c r="AI129" s="1140">
        <f t="shared" si="385"/>
        <v>30571.734562794139</v>
      </c>
      <c r="AJ129" s="1140">
        <f t="shared" si="385"/>
        <v>30571.734562794139</v>
      </c>
      <c r="AK129" s="1140">
        <f t="shared" si="385"/>
        <v>30571.734562794139</v>
      </c>
      <c r="AL129" s="1140">
        <f t="shared" si="385"/>
        <v>30571.734562794139</v>
      </c>
      <c r="AM129" s="1141">
        <f t="shared" si="385"/>
        <v>30571.734562794139</v>
      </c>
    </row>
    <row r="130" spans="2:39" x14ac:dyDescent="0.25">
      <c r="B130" s="1073" t="s">
        <v>996</v>
      </c>
      <c r="C130" s="1137">
        <f t="shared" si="383"/>
        <v>353899.65200185246</v>
      </c>
      <c r="D130" s="1140">
        <f t="shared" ref="D130:AM130" si="386">D33</f>
        <v>0</v>
      </c>
      <c r="E130" s="1140">
        <f t="shared" si="386"/>
        <v>0</v>
      </c>
      <c r="F130" s="1140">
        <f t="shared" si="386"/>
        <v>0</v>
      </c>
      <c r="G130" s="1140">
        <f t="shared" si="386"/>
        <v>0</v>
      </c>
      <c r="H130" s="1140">
        <f t="shared" si="386"/>
        <v>0</v>
      </c>
      <c r="I130" s="1140">
        <f t="shared" si="386"/>
        <v>0</v>
      </c>
      <c r="J130" s="1140">
        <f t="shared" si="386"/>
        <v>11796.655066728414</v>
      </c>
      <c r="K130" s="1140">
        <f t="shared" si="386"/>
        <v>11796.655066728414</v>
      </c>
      <c r="L130" s="1140">
        <f t="shared" si="386"/>
        <v>11796.655066728414</v>
      </c>
      <c r="M130" s="1140">
        <f t="shared" si="386"/>
        <v>11796.655066728414</v>
      </c>
      <c r="N130" s="1140">
        <f t="shared" si="386"/>
        <v>11796.655066728414</v>
      </c>
      <c r="O130" s="1140">
        <f t="shared" si="386"/>
        <v>11796.655066728414</v>
      </c>
      <c r="P130" s="1140">
        <f t="shared" si="386"/>
        <v>11796.655066728414</v>
      </c>
      <c r="Q130" s="1140">
        <f t="shared" si="386"/>
        <v>11796.655066728414</v>
      </c>
      <c r="R130" s="1140">
        <f t="shared" si="386"/>
        <v>11796.655066728414</v>
      </c>
      <c r="S130" s="1140">
        <f t="shared" si="386"/>
        <v>11796.655066728414</v>
      </c>
      <c r="T130" s="1140">
        <f t="shared" si="386"/>
        <v>11796.655066728414</v>
      </c>
      <c r="U130" s="1140">
        <f t="shared" si="386"/>
        <v>11796.655066728414</v>
      </c>
      <c r="V130" s="1140">
        <f t="shared" si="386"/>
        <v>11796.655066728414</v>
      </c>
      <c r="W130" s="1140">
        <f t="shared" si="386"/>
        <v>11796.655066728414</v>
      </c>
      <c r="X130" s="1140">
        <f t="shared" si="386"/>
        <v>11796.655066728414</v>
      </c>
      <c r="Y130" s="1140">
        <f t="shared" si="386"/>
        <v>11796.655066728414</v>
      </c>
      <c r="Z130" s="1140">
        <f t="shared" si="386"/>
        <v>11796.655066728414</v>
      </c>
      <c r="AA130" s="1140">
        <f t="shared" si="386"/>
        <v>11796.655066728414</v>
      </c>
      <c r="AB130" s="1140">
        <f t="shared" si="386"/>
        <v>11796.655066728414</v>
      </c>
      <c r="AC130" s="1140">
        <f t="shared" si="386"/>
        <v>11796.655066728414</v>
      </c>
      <c r="AD130" s="1140">
        <f t="shared" si="386"/>
        <v>11796.655066728414</v>
      </c>
      <c r="AE130" s="1140">
        <f t="shared" si="386"/>
        <v>11796.655066728414</v>
      </c>
      <c r="AF130" s="1140">
        <f t="shared" si="386"/>
        <v>11796.655066728414</v>
      </c>
      <c r="AG130" s="1140">
        <f t="shared" si="386"/>
        <v>11796.655066728414</v>
      </c>
      <c r="AH130" s="1140">
        <f t="shared" si="386"/>
        <v>11796.655066728414</v>
      </c>
      <c r="AI130" s="1140">
        <f t="shared" si="386"/>
        <v>11796.655066728414</v>
      </c>
      <c r="AJ130" s="1140">
        <f t="shared" si="386"/>
        <v>11796.655066728414</v>
      </c>
      <c r="AK130" s="1140">
        <f t="shared" si="386"/>
        <v>11796.655066728414</v>
      </c>
      <c r="AL130" s="1140">
        <f t="shared" si="386"/>
        <v>11796.655066728414</v>
      </c>
      <c r="AM130" s="1141">
        <f t="shared" si="386"/>
        <v>11796.655066728414</v>
      </c>
    </row>
    <row r="131" spans="2:39" x14ac:dyDescent="0.25">
      <c r="B131" s="1073" t="s">
        <v>1018</v>
      </c>
      <c r="C131" s="1137">
        <f t="shared" si="383"/>
        <v>5207460.9680454545</v>
      </c>
      <c r="D131" s="1140">
        <f t="shared" ref="D131:AM131" si="387">D34</f>
        <v>0</v>
      </c>
      <c r="E131" s="1140">
        <f t="shared" si="387"/>
        <v>0</v>
      </c>
      <c r="F131" s="1140">
        <f t="shared" si="387"/>
        <v>0</v>
      </c>
      <c r="G131" s="1140">
        <f t="shared" si="387"/>
        <v>0</v>
      </c>
      <c r="H131" s="1140">
        <f t="shared" si="387"/>
        <v>0</v>
      </c>
      <c r="I131" s="1140">
        <f t="shared" si="387"/>
        <v>0</v>
      </c>
      <c r="J131" s="1140">
        <f t="shared" si="387"/>
        <v>173582.03226818185</v>
      </c>
      <c r="K131" s="1140">
        <f t="shared" si="387"/>
        <v>173582.03226818185</v>
      </c>
      <c r="L131" s="1140">
        <f t="shared" si="387"/>
        <v>173582.03226818185</v>
      </c>
      <c r="M131" s="1140">
        <f t="shared" si="387"/>
        <v>173582.03226818185</v>
      </c>
      <c r="N131" s="1140">
        <f t="shared" si="387"/>
        <v>173582.03226818185</v>
      </c>
      <c r="O131" s="1140">
        <f t="shared" si="387"/>
        <v>173582.03226818185</v>
      </c>
      <c r="P131" s="1140">
        <f t="shared" si="387"/>
        <v>173582.03226818185</v>
      </c>
      <c r="Q131" s="1140">
        <f t="shared" si="387"/>
        <v>173582.03226818185</v>
      </c>
      <c r="R131" s="1140">
        <f t="shared" si="387"/>
        <v>173582.03226818185</v>
      </c>
      <c r="S131" s="1140">
        <f t="shared" si="387"/>
        <v>173582.03226818185</v>
      </c>
      <c r="T131" s="1140">
        <f t="shared" si="387"/>
        <v>173582.03226818185</v>
      </c>
      <c r="U131" s="1140">
        <f t="shared" si="387"/>
        <v>173582.03226818185</v>
      </c>
      <c r="V131" s="1140">
        <f t="shared" si="387"/>
        <v>173582.03226818185</v>
      </c>
      <c r="W131" s="1140">
        <f t="shared" si="387"/>
        <v>173582.03226818185</v>
      </c>
      <c r="X131" s="1140">
        <f t="shared" si="387"/>
        <v>173582.03226818185</v>
      </c>
      <c r="Y131" s="1140">
        <f t="shared" si="387"/>
        <v>173582.03226818185</v>
      </c>
      <c r="Z131" s="1140">
        <f t="shared" si="387"/>
        <v>173582.03226818185</v>
      </c>
      <c r="AA131" s="1140">
        <f t="shared" si="387"/>
        <v>173582.03226818185</v>
      </c>
      <c r="AB131" s="1140">
        <f t="shared" si="387"/>
        <v>173582.03226818185</v>
      </c>
      <c r="AC131" s="1140">
        <f t="shared" si="387"/>
        <v>173582.03226818185</v>
      </c>
      <c r="AD131" s="1140">
        <f t="shared" si="387"/>
        <v>173582.03226818185</v>
      </c>
      <c r="AE131" s="1140">
        <f t="shared" si="387"/>
        <v>173582.03226818185</v>
      </c>
      <c r="AF131" s="1140">
        <f t="shared" si="387"/>
        <v>173582.03226818185</v>
      </c>
      <c r="AG131" s="1140">
        <f t="shared" si="387"/>
        <v>173582.03226818185</v>
      </c>
      <c r="AH131" s="1140">
        <f t="shared" si="387"/>
        <v>173582.03226818185</v>
      </c>
      <c r="AI131" s="1140">
        <f t="shared" si="387"/>
        <v>173582.03226818185</v>
      </c>
      <c r="AJ131" s="1140">
        <f t="shared" si="387"/>
        <v>173582.03226818185</v>
      </c>
      <c r="AK131" s="1140">
        <f t="shared" si="387"/>
        <v>173582.03226818185</v>
      </c>
      <c r="AL131" s="1140">
        <f t="shared" si="387"/>
        <v>173582.03226818185</v>
      </c>
      <c r="AM131" s="1141">
        <f t="shared" si="387"/>
        <v>173582.03226818185</v>
      </c>
    </row>
    <row r="132" spans="2:39" x14ac:dyDescent="0.25">
      <c r="B132" s="667" t="s">
        <v>575</v>
      </c>
      <c r="C132" s="1137">
        <f t="shared" si="383"/>
        <v>19384832.229957331</v>
      </c>
      <c r="D132" s="1140">
        <f>'Residual Value '!F14</f>
        <v>0</v>
      </c>
      <c r="E132" s="1140">
        <f>'Residual Value '!G14</f>
        <v>0</v>
      </c>
      <c r="F132" s="1140">
        <f>'Residual Value '!H14</f>
        <v>0</v>
      </c>
      <c r="G132" s="1140">
        <f>'Residual Value '!I14</f>
        <v>0</v>
      </c>
      <c r="H132" s="1140">
        <f>'Residual Value '!J14</f>
        <v>0</v>
      </c>
      <c r="I132" s="1140">
        <f>'Residual Value '!K14</f>
        <v>0</v>
      </c>
      <c r="J132" s="1140">
        <f>'Residual Value '!L14</f>
        <v>0</v>
      </c>
      <c r="K132" s="1140">
        <f>'Residual Value '!M14</f>
        <v>0</v>
      </c>
      <c r="L132" s="1140">
        <f>'Residual Value '!N14</f>
        <v>0</v>
      </c>
      <c r="M132" s="1140">
        <f>'Residual Value '!O14</f>
        <v>0</v>
      </c>
      <c r="N132" s="1140">
        <f>'Residual Value '!P14</f>
        <v>0</v>
      </c>
      <c r="O132" s="1140">
        <f>'Residual Value '!Q14</f>
        <v>0</v>
      </c>
      <c r="P132" s="1140">
        <f>'Residual Value '!R14</f>
        <v>0</v>
      </c>
      <c r="Q132" s="1140">
        <f>'Residual Value '!S14</f>
        <v>0</v>
      </c>
      <c r="R132" s="1140">
        <f>'Residual Value '!T14</f>
        <v>0</v>
      </c>
      <c r="S132" s="1140">
        <f>'Residual Value '!U14</f>
        <v>0</v>
      </c>
      <c r="T132" s="1140">
        <f>'Residual Value '!V14</f>
        <v>0</v>
      </c>
      <c r="U132" s="1140">
        <f>'Residual Value '!W14</f>
        <v>0</v>
      </c>
      <c r="V132" s="1140">
        <f>'Residual Value '!X14</f>
        <v>0</v>
      </c>
      <c r="W132" s="1140">
        <f>'Residual Value '!Y14</f>
        <v>0</v>
      </c>
      <c r="X132" s="1140">
        <f>'Residual Value '!Z14</f>
        <v>0</v>
      </c>
      <c r="Y132" s="1140">
        <f>'Residual Value '!AA14</f>
        <v>0</v>
      </c>
      <c r="Z132" s="1140">
        <f>'Residual Value '!AB14</f>
        <v>0</v>
      </c>
      <c r="AA132" s="1140">
        <f>'Residual Value '!AC14</f>
        <v>0</v>
      </c>
      <c r="AB132" s="1140">
        <f>'Residual Value '!AD14</f>
        <v>0</v>
      </c>
      <c r="AC132" s="1140">
        <f>'Residual Value '!AE14</f>
        <v>0</v>
      </c>
      <c r="AD132" s="1140">
        <f>'Residual Value '!AF14</f>
        <v>0</v>
      </c>
      <c r="AE132" s="1140">
        <f>'Residual Value '!AG14</f>
        <v>0</v>
      </c>
      <c r="AF132" s="1140">
        <f>'Residual Value '!AH14</f>
        <v>0</v>
      </c>
      <c r="AG132" s="1140">
        <f>'Residual Value '!AI14</f>
        <v>0</v>
      </c>
      <c r="AH132" s="1140">
        <f>'Residual Value '!AJ14</f>
        <v>0</v>
      </c>
      <c r="AI132" s="1140">
        <f>'Residual Value '!AK14</f>
        <v>0</v>
      </c>
      <c r="AJ132" s="1140">
        <f>'Residual Value '!AL14</f>
        <v>0</v>
      </c>
      <c r="AK132" s="1140">
        <f>'Residual Value '!AM14</f>
        <v>0</v>
      </c>
      <c r="AL132" s="1140">
        <f>'Residual Value '!AN14</f>
        <v>0</v>
      </c>
      <c r="AM132" s="1141">
        <f>'Residual Value '!AO14</f>
        <v>19384832.229957331</v>
      </c>
    </row>
    <row r="133" spans="2:39" x14ac:dyDescent="0.25">
      <c r="B133" s="668" t="s">
        <v>568</v>
      </c>
      <c r="C133" s="1144">
        <f>SUM(D133:AM133)</f>
        <v>165555701.30671093</v>
      </c>
      <c r="D133" s="1144">
        <f t="shared" ref="D133:AK133" si="388">SUM(D128:D132)</f>
        <v>0</v>
      </c>
      <c r="E133" s="1144">
        <f t="shared" si="388"/>
        <v>0</v>
      </c>
      <c r="F133" s="1144">
        <f t="shared" si="388"/>
        <v>0</v>
      </c>
      <c r="G133" s="1144">
        <f t="shared" si="388"/>
        <v>0</v>
      </c>
      <c r="H133" s="1144">
        <f t="shared" si="388"/>
        <v>0</v>
      </c>
      <c r="I133" s="1144">
        <f t="shared" si="388"/>
        <v>0</v>
      </c>
      <c r="J133" s="1144">
        <f t="shared" si="388"/>
        <v>4872362.3025584556</v>
      </c>
      <c r="K133" s="1144">
        <f t="shared" si="388"/>
        <v>4872362.3025584556</v>
      </c>
      <c r="L133" s="1144">
        <f t="shared" si="388"/>
        <v>4872362.3025584556</v>
      </c>
      <c r="M133" s="1144">
        <f t="shared" si="388"/>
        <v>4872362.3025584556</v>
      </c>
      <c r="N133" s="1144">
        <f t="shared" si="388"/>
        <v>4872362.3025584556</v>
      </c>
      <c r="O133" s="1144">
        <f t="shared" si="388"/>
        <v>4872362.3025584556</v>
      </c>
      <c r="P133" s="1144">
        <f t="shared" si="388"/>
        <v>4872362.3025584556</v>
      </c>
      <c r="Q133" s="1144">
        <f t="shared" si="388"/>
        <v>4872362.3025584556</v>
      </c>
      <c r="R133" s="1144">
        <f t="shared" si="388"/>
        <v>4872362.3025584556</v>
      </c>
      <c r="S133" s="1144">
        <f t="shared" si="388"/>
        <v>4872362.3025584556</v>
      </c>
      <c r="T133" s="1144">
        <f t="shared" si="388"/>
        <v>4872362.3025584556</v>
      </c>
      <c r="U133" s="1144">
        <f t="shared" si="388"/>
        <v>4872362.3025584556</v>
      </c>
      <c r="V133" s="1144">
        <f t="shared" si="388"/>
        <v>4872362.3025584556</v>
      </c>
      <c r="W133" s="1144">
        <f t="shared" si="388"/>
        <v>4872362.3025584556</v>
      </c>
      <c r="X133" s="1144">
        <f t="shared" si="388"/>
        <v>4872362.3025584556</v>
      </c>
      <c r="Y133" s="1144">
        <f t="shared" si="388"/>
        <v>4872362.3025584556</v>
      </c>
      <c r="Z133" s="1144">
        <f t="shared" si="388"/>
        <v>4872362.3025584556</v>
      </c>
      <c r="AA133" s="1144">
        <f t="shared" si="388"/>
        <v>4872362.3025584556</v>
      </c>
      <c r="AB133" s="1144">
        <f t="shared" si="388"/>
        <v>4872362.3025584556</v>
      </c>
      <c r="AC133" s="1144">
        <f t="shared" si="388"/>
        <v>4872362.3025584556</v>
      </c>
      <c r="AD133" s="1144">
        <f t="shared" si="388"/>
        <v>4872362.3025584556</v>
      </c>
      <c r="AE133" s="1144">
        <f t="shared" si="388"/>
        <v>4872362.3025584556</v>
      </c>
      <c r="AF133" s="1144">
        <f t="shared" si="388"/>
        <v>4872362.3025584556</v>
      </c>
      <c r="AG133" s="1144">
        <f t="shared" si="388"/>
        <v>4872362.3025584556</v>
      </c>
      <c r="AH133" s="1144">
        <f t="shared" si="388"/>
        <v>4872362.3025584556</v>
      </c>
      <c r="AI133" s="1144">
        <f t="shared" si="388"/>
        <v>4872362.3025584556</v>
      </c>
      <c r="AJ133" s="1144">
        <f t="shared" si="388"/>
        <v>4872362.3025584556</v>
      </c>
      <c r="AK133" s="1145">
        <f t="shared" si="388"/>
        <v>4872362.3025584556</v>
      </c>
      <c r="AL133" s="1145">
        <f t="shared" ref="AL133:AM133" si="389">SUM(AL128:AL132)</f>
        <v>4872362.3025584556</v>
      </c>
      <c r="AM133" s="1145">
        <f t="shared" si="389"/>
        <v>24257194.532515787</v>
      </c>
    </row>
    <row r="134" spans="2:39" x14ac:dyDescent="0.25">
      <c r="B134" s="667" t="s">
        <v>569</v>
      </c>
      <c r="C134" s="1137">
        <f t="shared" ref="C134:C135" si="390">SUM(D134:AM134)</f>
        <v>48462080.57489334</v>
      </c>
      <c r="D134" s="1140">
        <f>SUM('Project Costs'!D15:D17)</f>
        <v>0</v>
      </c>
      <c r="E134" s="1140">
        <f>SUM('Project Costs'!E15:E17)</f>
        <v>4857843.611048732</v>
      </c>
      <c r="F134" s="1140">
        <f>SUM('Project Costs'!F15:F17)</f>
        <v>0</v>
      </c>
      <c r="G134" s="1140">
        <f>SUM('Project Costs'!G15:G17)</f>
        <v>22095431.394565463</v>
      </c>
      <c r="H134" s="1140">
        <f>SUM('Project Costs'!H15:H17)</f>
        <v>21215492.656635977</v>
      </c>
      <c r="I134" s="1140">
        <f>SUM('Project Costs'!I15:I17)</f>
        <v>293312.91264316189</v>
      </c>
      <c r="J134" s="1140">
        <f>SUM('Project Costs'!J15:J17)</f>
        <v>0</v>
      </c>
      <c r="K134" s="1140">
        <f>SUM('Project Costs'!K15:K17)</f>
        <v>0</v>
      </c>
      <c r="L134" s="1140">
        <f>SUM('Project Costs'!L15:L17)</f>
        <v>0</v>
      </c>
      <c r="M134" s="1140">
        <f>SUM('Project Costs'!M15:M17)</f>
        <v>0</v>
      </c>
      <c r="N134" s="1140">
        <f>SUM('Project Costs'!N15:N17)</f>
        <v>0</v>
      </c>
      <c r="O134" s="1140">
        <f>SUM('Project Costs'!O15:O17)</f>
        <v>0</v>
      </c>
      <c r="P134" s="1140">
        <f>SUM('Project Costs'!P15:P17)</f>
        <v>0</v>
      </c>
      <c r="Q134" s="1140">
        <f>SUM('Project Costs'!Q15:Q17)</f>
        <v>0</v>
      </c>
      <c r="R134" s="1140">
        <f>SUM('Project Costs'!R15:R17)</f>
        <v>0</v>
      </c>
      <c r="S134" s="1140">
        <f>SUM('Project Costs'!S15:S17)</f>
        <v>0</v>
      </c>
      <c r="T134" s="1140">
        <f>SUM('Project Costs'!T15:T17)</f>
        <v>0</v>
      </c>
      <c r="U134" s="1140">
        <f>SUM('Project Costs'!U15:U17)</f>
        <v>0</v>
      </c>
      <c r="V134" s="1140">
        <f>SUM('Project Costs'!V15:V17)</f>
        <v>0</v>
      </c>
      <c r="W134" s="1140">
        <f>SUM('Project Costs'!W15:W17)</f>
        <v>0</v>
      </c>
      <c r="X134" s="1140">
        <f>SUM('Project Costs'!X15:X17)</f>
        <v>0</v>
      </c>
      <c r="Y134" s="1140">
        <f>SUM('Project Costs'!Y15:Y17)</f>
        <v>0</v>
      </c>
      <c r="Z134" s="1140">
        <f>SUM('Project Costs'!Z15:Z17)</f>
        <v>0</v>
      </c>
      <c r="AA134" s="1140">
        <f>SUM('Project Costs'!AA15:AA17)</f>
        <v>0</v>
      </c>
      <c r="AB134" s="1140">
        <f>SUM('Project Costs'!AB15:AB17)</f>
        <v>0</v>
      </c>
      <c r="AC134" s="1140">
        <f>SUM('Project Costs'!AC15:AC17)</f>
        <v>0</v>
      </c>
      <c r="AD134" s="1140">
        <f>SUM('Project Costs'!AD15:AD17)</f>
        <v>0</v>
      </c>
      <c r="AE134" s="1140">
        <f>SUM('Project Costs'!AE15:AE17)</f>
        <v>0</v>
      </c>
      <c r="AF134" s="1140">
        <f>SUM('Project Costs'!AF15:AF17)</f>
        <v>0</v>
      </c>
      <c r="AG134" s="1140">
        <f>SUM('Project Costs'!AG15:AG17)</f>
        <v>0</v>
      </c>
      <c r="AH134" s="1140">
        <f>SUM('Project Costs'!AH15:AH17)</f>
        <v>0</v>
      </c>
      <c r="AI134" s="1140">
        <f>SUM('Project Costs'!AI15:AI17)</f>
        <v>0</v>
      </c>
      <c r="AJ134" s="1140">
        <f>SUM('Project Costs'!AJ15:AJ17)</f>
        <v>0</v>
      </c>
      <c r="AK134" s="1140">
        <f>SUM('Project Costs'!AK15:AK17)</f>
        <v>0</v>
      </c>
      <c r="AL134" s="1140">
        <f>SUM('Project Costs'!AL15:AL17)</f>
        <v>0</v>
      </c>
      <c r="AM134" s="1140">
        <f>SUM('Project Costs'!AM15:AM17)</f>
        <v>0</v>
      </c>
    </row>
    <row r="135" spans="2:39" ht="15.05" customHeight="1" x14ac:dyDescent="0.25">
      <c r="B135" s="667" t="s">
        <v>583</v>
      </c>
      <c r="C135" s="1137">
        <f t="shared" si="390"/>
        <v>0</v>
      </c>
      <c r="D135" s="1140">
        <v>0</v>
      </c>
      <c r="E135" s="1140">
        <v>0</v>
      </c>
      <c r="F135" s="1140">
        <v>0</v>
      </c>
      <c r="G135" s="1140">
        <v>0</v>
      </c>
      <c r="H135" s="1140">
        <v>0</v>
      </c>
      <c r="I135" s="1140">
        <v>0</v>
      </c>
      <c r="J135" s="1140">
        <v>0</v>
      </c>
      <c r="K135" s="1140">
        <v>0</v>
      </c>
      <c r="L135" s="1140">
        <v>0</v>
      </c>
      <c r="M135" s="1140">
        <v>0</v>
      </c>
      <c r="N135" s="1140">
        <v>0</v>
      </c>
      <c r="O135" s="1140">
        <v>0</v>
      </c>
      <c r="P135" s="1140">
        <v>0</v>
      </c>
      <c r="Q135" s="1140">
        <v>0</v>
      </c>
      <c r="R135" s="1140">
        <v>0</v>
      </c>
      <c r="S135" s="1140">
        <v>0</v>
      </c>
      <c r="T135" s="1140">
        <v>0</v>
      </c>
      <c r="U135" s="1140">
        <v>0</v>
      </c>
      <c r="V135" s="1140">
        <v>0</v>
      </c>
      <c r="W135" s="1140">
        <v>0</v>
      </c>
      <c r="X135" s="1140">
        <v>0</v>
      </c>
      <c r="Y135" s="1140">
        <v>0</v>
      </c>
      <c r="Z135" s="1140">
        <v>0</v>
      </c>
      <c r="AA135" s="1140">
        <v>0</v>
      </c>
      <c r="AB135" s="1140">
        <v>0</v>
      </c>
      <c r="AC135" s="1140">
        <v>0</v>
      </c>
      <c r="AD135" s="1140">
        <v>0</v>
      </c>
      <c r="AE135" s="1140">
        <v>0</v>
      </c>
      <c r="AF135" s="1140">
        <v>0</v>
      </c>
      <c r="AG135" s="1140">
        <v>0</v>
      </c>
      <c r="AH135" s="1140">
        <v>0</v>
      </c>
      <c r="AI135" s="1140">
        <v>0</v>
      </c>
      <c r="AJ135" s="1140">
        <v>0</v>
      </c>
      <c r="AK135" s="1140">
        <v>0</v>
      </c>
      <c r="AL135" s="1140">
        <v>0</v>
      </c>
      <c r="AM135" s="1140">
        <v>0</v>
      </c>
    </row>
    <row r="136" spans="2:39" x14ac:dyDescent="0.25">
      <c r="B136" s="668" t="s">
        <v>570</v>
      </c>
      <c r="C136" s="1144">
        <f>SUM(D136:AM136)</f>
        <v>48462080.57489334</v>
      </c>
      <c r="D136" s="1144">
        <f t="shared" ref="D136:AK136" si="391">SUM(D134:D135)</f>
        <v>0</v>
      </c>
      <c r="E136" s="1144">
        <f t="shared" si="391"/>
        <v>4857843.611048732</v>
      </c>
      <c r="F136" s="1144">
        <f t="shared" si="391"/>
        <v>0</v>
      </c>
      <c r="G136" s="1144">
        <f t="shared" si="391"/>
        <v>22095431.394565463</v>
      </c>
      <c r="H136" s="1144">
        <f t="shared" si="391"/>
        <v>21215492.656635977</v>
      </c>
      <c r="I136" s="1144">
        <f t="shared" si="391"/>
        <v>293312.91264316189</v>
      </c>
      <c r="J136" s="1144">
        <f t="shared" si="391"/>
        <v>0</v>
      </c>
      <c r="K136" s="1144">
        <f t="shared" si="391"/>
        <v>0</v>
      </c>
      <c r="L136" s="1144">
        <f t="shared" si="391"/>
        <v>0</v>
      </c>
      <c r="M136" s="1144">
        <f t="shared" si="391"/>
        <v>0</v>
      </c>
      <c r="N136" s="1144">
        <f t="shared" si="391"/>
        <v>0</v>
      </c>
      <c r="O136" s="1144">
        <f t="shared" si="391"/>
        <v>0</v>
      </c>
      <c r="P136" s="1144">
        <f t="shared" si="391"/>
        <v>0</v>
      </c>
      <c r="Q136" s="1144">
        <f t="shared" si="391"/>
        <v>0</v>
      </c>
      <c r="R136" s="1144">
        <f t="shared" si="391"/>
        <v>0</v>
      </c>
      <c r="S136" s="1144">
        <f t="shared" si="391"/>
        <v>0</v>
      </c>
      <c r="T136" s="1144">
        <f t="shared" si="391"/>
        <v>0</v>
      </c>
      <c r="U136" s="1144">
        <f t="shared" si="391"/>
        <v>0</v>
      </c>
      <c r="V136" s="1144">
        <f t="shared" si="391"/>
        <v>0</v>
      </c>
      <c r="W136" s="1144">
        <f t="shared" si="391"/>
        <v>0</v>
      </c>
      <c r="X136" s="1144">
        <f t="shared" si="391"/>
        <v>0</v>
      </c>
      <c r="Y136" s="1144">
        <f t="shared" si="391"/>
        <v>0</v>
      </c>
      <c r="Z136" s="1144">
        <f t="shared" si="391"/>
        <v>0</v>
      </c>
      <c r="AA136" s="1144">
        <f t="shared" si="391"/>
        <v>0</v>
      </c>
      <c r="AB136" s="1144">
        <f t="shared" si="391"/>
        <v>0</v>
      </c>
      <c r="AC136" s="1144">
        <f t="shared" si="391"/>
        <v>0</v>
      </c>
      <c r="AD136" s="1144">
        <f t="shared" si="391"/>
        <v>0</v>
      </c>
      <c r="AE136" s="1144">
        <f t="shared" si="391"/>
        <v>0</v>
      </c>
      <c r="AF136" s="1144">
        <f t="shared" si="391"/>
        <v>0</v>
      </c>
      <c r="AG136" s="1144">
        <f t="shared" si="391"/>
        <v>0</v>
      </c>
      <c r="AH136" s="1144">
        <f t="shared" si="391"/>
        <v>0</v>
      </c>
      <c r="AI136" s="1144">
        <f t="shared" si="391"/>
        <v>0</v>
      </c>
      <c r="AJ136" s="1144">
        <f t="shared" si="391"/>
        <v>0</v>
      </c>
      <c r="AK136" s="1145">
        <f t="shared" si="391"/>
        <v>0</v>
      </c>
      <c r="AL136" s="1145">
        <f t="shared" ref="AL136:AM136" si="392">SUM(AL134:AL135)</f>
        <v>0</v>
      </c>
      <c r="AM136" s="1145">
        <f t="shared" si="392"/>
        <v>0</v>
      </c>
    </row>
    <row r="137" spans="2:39" x14ac:dyDescent="0.25">
      <c r="B137" s="726" t="s">
        <v>612</v>
      </c>
      <c r="C137" s="1146">
        <f>SUM(D137:AM137)</f>
        <v>117093620.7318176</v>
      </c>
      <c r="D137" s="1146">
        <f>D133-D136</f>
        <v>0</v>
      </c>
      <c r="E137" s="1146">
        <f t="shared" ref="E137:Y137" si="393">E133-E136</f>
        <v>-4857843.611048732</v>
      </c>
      <c r="F137" s="1146">
        <f t="shared" si="393"/>
        <v>0</v>
      </c>
      <c r="G137" s="1146">
        <f t="shared" si="393"/>
        <v>-22095431.394565463</v>
      </c>
      <c r="H137" s="1146">
        <f t="shared" si="393"/>
        <v>-21215492.656635977</v>
      </c>
      <c r="I137" s="1146">
        <f t="shared" si="393"/>
        <v>-293312.91264316189</v>
      </c>
      <c r="J137" s="1146">
        <f t="shared" si="393"/>
        <v>4872362.3025584556</v>
      </c>
      <c r="K137" s="1146">
        <f t="shared" si="393"/>
        <v>4872362.3025584556</v>
      </c>
      <c r="L137" s="1146">
        <f t="shared" si="393"/>
        <v>4872362.3025584556</v>
      </c>
      <c r="M137" s="1146">
        <f t="shared" si="393"/>
        <v>4872362.3025584556</v>
      </c>
      <c r="N137" s="1146">
        <f t="shared" si="393"/>
        <v>4872362.3025584556</v>
      </c>
      <c r="O137" s="1146">
        <f t="shared" si="393"/>
        <v>4872362.3025584556</v>
      </c>
      <c r="P137" s="1146">
        <f t="shared" si="393"/>
        <v>4872362.3025584556</v>
      </c>
      <c r="Q137" s="1146">
        <f t="shared" si="393"/>
        <v>4872362.3025584556</v>
      </c>
      <c r="R137" s="1146">
        <f t="shared" si="393"/>
        <v>4872362.3025584556</v>
      </c>
      <c r="S137" s="1146">
        <f t="shared" si="393"/>
        <v>4872362.3025584556</v>
      </c>
      <c r="T137" s="1146">
        <f t="shared" si="393"/>
        <v>4872362.3025584556</v>
      </c>
      <c r="U137" s="1146">
        <f t="shared" si="393"/>
        <v>4872362.3025584556</v>
      </c>
      <c r="V137" s="1146">
        <f t="shared" si="393"/>
        <v>4872362.3025584556</v>
      </c>
      <c r="W137" s="1146">
        <f t="shared" si="393"/>
        <v>4872362.3025584556</v>
      </c>
      <c r="X137" s="1146">
        <f t="shared" si="393"/>
        <v>4872362.3025584556</v>
      </c>
      <c r="Y137" s="1146">
        <f t="shared" si="393"/>
        <v>4872362.3025584556</v>
      </c>
      <c r="Z137" s="1146">
        <f>Z133-Z136</f>
        <v>4872362.3025584556</v>
      </c>
      <c r="AA137" s="1146">
        <f t="shared" ref="AA137:AK137" si="394">AA133-AA136</f>
        <v>4872362.3025584556</v>
      </c>
      <c r="AB137" s="1146">
        <f t="shared" si="394"/>
        <v>4872362.3025584556</v>
      </c>
      <c r="AC137" s="1146">
        <f t="shared" si="394"/>
        <v>4872362.3025584556</v>
      </c>
      <c r="AD137" s="1146">
        <f t="shared" si="394"/>
        <v>4872362.3025584556</v>
      </c>
      <c r="AE137" s="1146">
        <f t="shared" si="394"/>
        <v>4872362.3025584556</v>
      </c>
      <c r="AF137" s="1146">
        <f t="shared" si="394"/>
        <v>4872362.3025584556</v>
      </c>
      <c r="AG137" s="1146">
        <f t="shared" si="394"/>
        <v>4872362.3025584556</v>
      </c>
      <c r="AH137" s="1146">
        <f t="shared" si="394"/>
        <v>4872362.3025584556</v>
      </c>
      <c r="AI137" s="1146">
        <f t="shared" si="394"/>
        <v>4872362.3025584556</v>
      </c>
      <c r="AJ137" s="1146">
        <f t="shared" si="394"/>
        <v>4872362.3025584556</v>
      </c>
      <c r="AK137" s="1147">
        <f t="shared" si="394"/>
        <v>4872362.3025584556</v>
      </c>
      <c r="AL137" s="1147">
        <f t="shared" ref="AL137:AM137" si="395">AL133-AL136</f>
        <v>4872362.3025584556</v>
      </c>
      <c r="AM137" s="1147">
        <f t="shared" si="395"/>
        <v>24257194.532515787</v>
      </c>
    </row>
    <row r="138" spans="2:39" x14ac:dyDescent="0.25">
      <c r="B138" s="727" t="s">
        <v>613</v>
      </c>
      <c r="C138" s="1148"/>
      <c r="D138" s="1148">
        <f>D137</f>
        <v>0</v>
      </c>
      <c r="E138" s="1148">
        <f>D138+E137</f>
        <v>-4857843.611048732</v>
      </c>
      <c r="F138" s="1148">
        <f>E138+F137</f>
        <v>-4857843.611048732</v>
      </c>
      <c r="G138" s="1148">
        <f>F138+G137</f>
        <v>-26953275.005614195</v>
      </c>
      <c r="H138" s="1148">
        <f t="shared" ref="H138" si="396">G138+H137</f>
        <v>-48168767.662250176</v>
      </c>
      <c r="I138" s="1148">
        <f t="shared" ref="I138" si="397">H138+I137</f>
        <v>-48462080.57489334</v>
      </c>
      <c r="J138" s="1148">
        <f t="shared" ref="J138" si="398">I138+J137</f>
        <v>-43589718.272334889</v>
      </c>
      <c r="K138" s="1148">
        <f t="shared" ref="K138" si="399">J138+K137</f>
        <v>-38717355.969776437</v>
      </c>
      <c r="L138" s="1148">
        <f t="shared" ref="L138" si="400">K138+L137</f>
        <v>-33844993.667217985</v>
      </c>
      <c r="M138" s="1148">
        <f t="shared" ref="M138" si="401">L138+M137</f>
        <v>-28972631.364659529</v>
      </c>
      <c r="N138" s="1148">
        <f t="shared" ref="N138" si="402">M138+N137</f>
        <v>-24100269.062101074</v>
      </c>
      <c r="O138" s="1148">
        <f t="shared" ref="O138" si="403">N138+O137</f>
        <v>-19227906.759542618</v>
      </c>
      <c r="P138" s="1148">
        <f t="shared" ref="P138" si="404">O138+P137</f>
        <v>-14355544.456984162</v>
      </c>
      <c r="Q138" s="1148">
        <f t="shared" ref="Q138" si="405">P138+Q137</f>
        <v>-9483182.1544257067</v>
      </c>
      <c r="R138" s="1148">
        <f t="shared" ref="R138" si="406">Q138+R137</f>
        <v>-4610819.8518672511</v>
      </c>
      <c r="S138" s="1148">
        <f t="shared" ref="S138" si="407">R138+S137</f>
        <v>261542.45069120452</v>
      </c>
      <c r="T138" s="1148">
        <f t="shared" ref="T138" si="408">S138+T137</f>
        <v>5133904.7532496601</v>
      </c>
      <c r="U138" s="1148">
        <f t="shared" ref="U138" si="409">T138+U137</f>
        <v>10006267.055808116</v>
      </c>
      <c r="V138" s="1148">
        <f t="shared" ref="V138" si="410">U138+V137</f>
        <v>14878629.358366571</v>
      </c>
      <c r="W138" s="1148">
        <f t="shared" ref="W138" si="411">V138+W137</f>
        <v>19750991.660925027</v>
      </c>
      <c r="X138" s="1148">
        <f t="shared" ref="X138" si="412">W138+X137</f>
        <v>24623353.963483483</v>
      </c>
      <c r="Y138" s="1148">
        <f t="shared" ref="Y138" si="413">X138+Y137</f>
        <v>29495716.266041938</v>
      </c>
      <c r="Z138" s="1148">
        <f>Y138+Z137</f>
        <v>34368078.568600394</v>
      </c>
      <c r="AA138" s="1148">
        <f>Z138+AA137</f>
        <v>39240440.871158853</v>
      </c>
      <c r="AB138" s="1148">
        <f t="shared" ref="AB138" si="414">AA138+AB137</f>
        <v>44112803.173717305</v>
      </c>
      <c r="AC138" s="1148">
        <f t="shared" ref="AC138" si="415">AB138+AC137</f>
        <v>48985165.476275757</v>
      </c>
      <c r="AD138" s="1148">
        <f t="shared" ref="AD138" si="416">AC138+AD137</f>
        <v>53857527.778834209</v>
      </c>
      <c r="AE138" s="1148">
        <f t="shared" ref="AE138" si="417">AD138+AE137</f>
        <v>58729890.081392661</v>
      </c>
      <c r="AF138" s="1148">
        <f t="shared" ref="AF138" si="418">AE138+AF137</f>
        <v>63602252.383951113</v>
      </c>
      <c r="AG138" s="1148">
        <f t="shared" ref="AG138" si="419">AF138+AG137</f>
        <v>68474614.686509565</v>
      </c>
      <c r="AH138" s="1148">
        <f t="shared" ref="AH138" si="420">AG138+AH137</f>
        <v>73346976.989068016</v>
      </c>
      <c r="AI138" s="1148">
        <f t="shared" ref="AI138" si="421">AH138+AI137</f>
        <v>78219339.291626468</v>
      </c>
      <c r="AJ138" s="1148">
        <f t="shared" ref="AJ138" si="422">AI138+AJ137</f>
        <v>83091701.59418492</v>
      </c>
      <c r="AK138" s="1149">
        <f t="shared" ref="AK138" si="423">AJ138+AK137</f>
        <v>87964063.896743372</v>
      </c>
      <c r="AL138" s="1149">
        <f t="shared" ref="AL138" si="424">AK138+AL137</f>
        <v>92836426.199301824</v>
      </c>
      <c r="AM138" s="1149">
        <f t="shared" ref="AM138" si="425">AL138+AM137</f>
        <v>117093620.7318176</v>
      </c>
    </row>
    <row r="139" spans="2:39" x14ac:dyDescent="0.25">
      <c r="C139" s="1153"/>
      <c r="D139" s="1153"/>
      <c r="E139" s="1153"/>
      <c r="F139" s="1153"/>
      <c r="G139" s="1153"/>
      <c r="H139" s="1153"/>
      <c r="I139" s="1153"/>
      <c r="J139" s="1153"/>
      <c r="K139" s="1153"/>
      <c r="L139" s="1153"/>
      <c r="M139" s="1153"/>
      <c r="N139" s="1153"/>
      <c r="O139" s="1153"/>
      <c r="P139" s="1153"/>
      <c r="Q139" s="1153"/>
      <c r="R139" s="1153"/>
      <c r="S139" s="1153"/>
      <c r="T139" s="1153"/>
      <c r="U139" s="1153"/>
      <c r="V139" s="1153"/>
      <c r="W139" s="1153"/>
      <c r="X139" s="1153"/>
      <c r="Y139" s="1153"/>
      <c r="Z139" s="1153"/>
      <c r="AA139" s="1153"/>
      <c r="AB139" s="1153"/>
      <c r="AC139" s="1153"/>
      <c r="AD139" s="1153"/>
      <c r="AE139" s="1153"/>
      <c r="AF139" s="1153"/>
      <c r="AG139" s="1153"/>
      <c r="AH139" s="1153"/>
      <c r="AI139" s="1153"/>
      <c r="AJ139" s="1153"/>
      <c r="AK139" s="1153"/>
      <c r="AL139" s="1153"/>
      <c r="AM139" s="1153"/>
    </row>
    <row r="140" spans="2:39" x14ac:dyDescent="0.25">
      <c r="B140" s="725" t="s">
        <v>611</v>
      </c>
      <c r="C140" s="1151" t="s">
        <v>393</v>
      </c>
      <c r="D140" s="1151">
        <f t="shared" ref="D140:AK140" si="426">D127</f>
        <v>2019</v>
      </c>
      <c r="E140" s="1151">
        <f t="shared" si="426"/>
        <v>2020</v>
      </c>
      <c r="F140" s="1151">
        <f t="shared" si="426"/>
        <v>2021</v>
      </c>
      <c r="G140" s="1151">
        <f t="shared" si="426"/>
        <v>2022</v>
      </c>
      <c r="H140" s="1151">
        <f t="shared" si="426"/>
        <v>2023</v>
      </c>
      <c r="I140" s="1151">
        <f t="shared" si="426"/>
        <v>2024</v>
      </c>
      <c r="J140" s="1151">
        <f t="shared" si="426"/>
        <v>2025</v>
      </c>
      <c r="K140" s="1151">
        <f t="shared" si="426"/>
        <v>2026</v>
      </c>
      <c r="L140" s="1151">
        <f t="shared" si="426"/>
        <v>2027</v>
      </c>
      <c r="M140" s="1151">
        <f t="shared" si="426"/>
        <v>2028</v>
      </c>
      <c r="N140" s="1151">
        <f t="shared" si="426"/>
        <v>2029</v>
      </c>
      <c r="O140" s="1151">
        <f t="shared" si="426"/>
        <v>2030</v>
      </c>
      <c r="P140" s="1151">
        <f t="shared" si="426"/>
        <v>2031</v>
      </c>
      <c r="Q140" s="1151">
        <f t="shared" si="426"/>
        <v>2032</v>
      </c>
      <c r="R140" s="1151">
        <f t="shared" si="426"/>
        <v>2033</v>
      </c>
      <c r="S140" s="1151">
        <f t="shared" si="426"/>
        <v>2034</v>
      </c>
      <c r="T140" s="1151">
        <f t="shared" si="426"/>
        <v>2035</v>
      </c>
      <c r="U140" s="1151">
        <f t="shared" si="426"/>
        <v>2036</v>
      </c>
      <c r="V140" s="1151">
        <f t="shared" si="426"/>
        <v>2037</v>
      </c>
      <c r="W140" s="1151">
        <f t="shared" si="426"/>
        <v>2038</v>
      </c>
      <c r="X140" s="1151">
        <f t="shared" si="426"/>
        <v>2039</v>
      </c>
      <c r="Y140" s="1151">
        <f t="shared" si="426"/>
        <v>2040</v>
      </c>
      <c r="Z140" s="1151">
        <f t="shared" si="426"/>
        <v>2041</v>
      </c>
      <c r="AA140" s="1151">
        <f t="shared" si="426"/>
        <v>2042</v>
      </c>
      <c r="AB140" s="1151">
        <f t="shared" si="426"/>
        <v>2043</v>
      </c>
      <c r="AC140" s="1151">
        <f t="shared" si="426"/>
        <v>2044</v>
      </c>
      <c r="AD140" s="1151">
        <f t="shared" si="426"/>
        <v>2045</v>
      </c>
      <c r="AE140" s="1151">
        <f t="shared" si="426"/>
        <v>2046</v>
      </c>
      <c r="AF140" s="1151">
        <f t="shared" si="426"/>
        <v>2047</v>
      </c>
      <c r="AG140" s="1151">
        <f t="shared" si="426"/>
        <v>2048</v>
      </c>
      <c r="AH140" s="1151">
        <f t="shared" si="426"/>
        <v>2049</v>
      </c>
      <c r="AI140" s="1151">
        <f t="shared" si="426"/>
        <v>2050</v>
      </c>
      <c r="AJ140" s="1151">
        <f t="shared" si="426"/>
        <v>2051</v>
      </c>
      <c r="AK140" s="1151">
        <f t="shared" si="426"/>
        <v>2052</v>
      </c>
      <c r="AL140" s="1151">
        <f t="shared" ref="AL140:AM140" si="427">AL127</f>
        <v>2053</v>
      </c>
      <c r="AM140" s="1152">
        <f t="shared" si="427"/>
        <v>2054</v>
      </c>
    </row>
    <row r="141" spans="2:39" x14ac:dyDescent="0.25">
      <c r="B141" s="1073" t="s">
        <v>994</v>
      </c>
      <c r="C141" s="1137">
        <f t="shared" ref="C141:C145" si="428">SUM(D141:AM141)</f>
        <v>38502324.367128596</v>
      </c>
      <c r="D141" s="1140">
        <f t="shared" ref="D141:AM141" si="429">D128*D$168</f>
        <v>0</v>
      </c>
      <c r="E141" s="1140">
        <f t="shared" si="429"/>
        <v>0</v>
      </c>
      <c r="F141" s="1140">
        <f t="shared" si="429"/>
        <v>0</v>
      </c>
      <c r="G141" s="1140">
        <f t="shared" si="429"/>
        <v>0</v>
      </c>
      <c r="H141" s="1140">
        <f t="shared" si="429"/>
        <v>0</v>
      </c>
      <c r="I141" s="1140">
        <f t="shared" si="429"/>
        <v>0</v>
      </c>
      <c r="J141" s="1140">
        <f t="shared" si="429"/>
        <v>2899779.2967898264</v>
      </c>
      <c r="K141" s="1140">
        <f t="shared" si="429"/>
        <v>2710074.1091493708</v>
      </c>
      <c r="L141" s="1140">
        <f t="shared" si="429"/>
        <v>2532779.5412610942</v>
      </c>
      <c r="M141" s="1140">
        <f t="shared" si="429"/>
        <v>2367083.6834215834</v>
      </c>
      <c r="N141" s="1140">
        <f t="shared" si="429"/>
        <v>2212227.7415154981</v>
      </c>
      <c r="O141" s="1140">
        <f t="shared" si="429"/>
        <v>2067502.5621640172</v>
      </c>
      <c r="P141" s="1140">
        <f t="shared" si="429"/>
        <v>1932245.385200016</v>
      </c>
      <c r="Q141" s="1140">
        <f t="shared" si="429"/>
        <v>1805836.8085981458</v>
      </c>
      <c r="R141" s="1140">
        <f t="shared" si="429"/>
        <v>1687697.9519608838</v>
      </c>
      <c r="S141" s="1140">
        <f t="shared" si="429"/>
        <v>1577287.8055709198</v>
      </c>
      <c r="T141" s="1140">
        <f t="shared" si="429"/>
        <v>1474100.7528700184</v>
      </c>
      <c r="U141" s="1140">
        <f t="shared" si="429"/>
        <v>1377664.2550187085</v>
      </c>
      <c r="V141" s="1140">
        <f t="shared" si="429"/>
        <v>1287536.6869333726</v>
      </c>
      <c r="W141" s="1140">
        <f t="shared" si="429"/>
        <v>1203305.3148910024</v>
      </c>
      <c r="X141" s="1140">
        <f t="shared" si="429"/>
        <v>1124584.4064401891</v>
      </c>
      <c r="Y141" s="1140">
        <f t="shared" si="429"/>
        <v>1051013.4639627936</v>
      </c>
      <c r="Z141" s="1140">
        <f t="shared" si="429"/>
        <v>982255.57379700337</v>
      </c>
      <c r="AA141" s="1140">
        <f t="shared" si="429"/>
        <v>917995.86336168542</v>
      </c>
      <c r="AB141" s="1140">
        <f t="shared" si="429"/>
        <v>857940.05921652832</v>
      </c>
      <c r="AC141" s="1140">
        <f t="shared" si="429"/>
        <v>801813.13945469947</v>
      </c>
      <c r="AD141" s="1140">
        <f t="shared" si="429"/>
        <v>749358.07425672829</v>
      </c>
      <c r="AE141" s="1140">
        <f t="shared" si="429"/>
        <v>700334.64883806393</v>
      </c>
      <c r="AF141" s="1140">
        <f t="shared" si="429"/>
        <v>654518.36340005975</v>
      </c>
      <c r="AG141" s="1140">
        <f t="shared" si="429"/>
        <v>611699.4050467849</v>
      </c>
      <c r="AH141" s="1140">
        <f t="shared" si="429"/>
        <v>571681.68695961183</v>
      </c>
      <c r="AI141" s="1140">
        <f t="shared" si="429"/>
        <v>534281.95042954385</v>
      </c>
      <c r="AJ141" s="1140">
        <f t="shared" si="429"/>
        <v>499328.92563508777</v>
      </c>
      <c r="AK141" s="1140">
        <f t="shared" si="429"/>
        <v>466662.54732251196</v>
      </c>
      <c r="AL141" s="1140">
        <f t="shared" si="429"/>
        <v>436133.22179674008</v>
      </c>
      <c r="AM141" s="1141">
        <f t="shared" si="429"/>
        <v>407601.14186611224</v>
      </c>
    </row>
    <row r="142" spans="2:39" x14ac:dyDescent="0.25">
      <c r="B142" s="1073" t="s">
        <v>1017</v>
      </c>
      <c r="C142" s="1137">
        <f t="shared" si="428"/>
        <v>252787.52626913812</v>
      </c>
      <c r="D142" s="1140">
        <f t="shared" ref="D142:AM142" si="430">D129*D$168</f>
        <v>0</v>
      </c>
      <c r="E142" s="1140">
        <f t="shared" si="430"/>
        <v>0</v>
      </c>
      <c r="F142" s="1140">
        <f t="shared" si="430"/>
        <v>0</v>
      </c>
      <c r="G142" s="1140">
        <f t="shared" si="430"/>
        <v>0</v>
      </c>
      <c r="H142" s="1140">
        <f t="shared" si="430"/>
        <v>0</v>
      </c>
      <c r="I142" s="1140">
        <f t="shared" si="430"/>
        <v>0</v>
      </c>
      <c r="J142" s="1140">
        <f t="shared" si="430"/>
        <v>19038.539807944282</v>
      </c>
      <c r="K142" s="1140">
        <f t="shared" si="430"/>
        <v>17793.027857891851</v>
      </c>
      <c r="L142" s="1140">
        <f t="shared" si="430"/>
        <v>16628.997998029768</v>
      </c>
      <c r="M142" s="1140">
        <f t="shared" si="430"/>
        <v>15541.119624326888</v>
      </c>
      <c r="N142" s="1140">
        <f t="shared" si="430"/>
        <v>14524.410863856901</v>
      </c>
      <c r="O142" s="1140">
        <f t="shared" si="430"/>
        <v>13574.21576061393</v>
      </c>
      <c r="P142" s="1140">
        <f t="shared" si="430"/>
        <v>12686.182953844793</v>
      </c>
      <c r="Q142" s="1140">
        <f t="shared" si="430"/>
        <v>11856.245751256816</v>
      </c>
      <c r="R142" s="1140">
        <f t="shared" si="430"/>
        <v>11080.60350584749</v>
      </c>
      <c r="S142" s="1140">
        <f t="shared" si="430"/>
        <v>10355.704211072423</v>
      </c>
      <c r="T142" s="1140">
        <f t="shared" si="430"/>
        <v>9678.2282346471238</v>
      </c>
      <c r="U142" s="1140">
        <f t="shared" si="430"/>
        <v>9045.0731164926383</v>
      </c>
      <c r="V142" s="1140">
        <f t="shared" si="430"/>
        <v>8453.3393612080727</v>
      </c>
      <c r="W142" s="1140">
        <f t="shared" si="430"/>
        <v>7900.3171600075457</v>
      </c>
      <c r="X142" s="1140">
        <f t="shared" si="430"/>
        <v>7383.4739813154629</v>
      </c>
      <c r="Y142" s="1140">
        <f t="shared" si="430"/>
        <v>6900.4429731920218</v>
      </c>
      <c r="Z142" s="1140">
        <f t="shared" si="430"/>
        <v>6449.0121244785241</v>
      </c>
      <c r="AA142" s="1140">
        <f t="shared" si="430"/>
        <v>6027.1141350266589</v>
      </c>
      <c r="AB142" s="1140">
        <f t="shared" si="430"/>
        <v>5632.8169486230445</v>
      </c>
      <c r="AC142" s="1140">
        <f t="shared" si="430"/>
        <v>5264.3149052551826</v>
      </c>
      <c r="AD142" s="1140">
        <f t="shared" si="430"/>
        <v>4919.9204722011045</v>
      </c>
      <c r="AE142" s="1140">
        <f t="shared" si="430"/>
        <v>4598.0565160757988</v>
      </c>
      <c r="AF142" s="1140">
        <f t="shared" si="430"/>
        <v>4297.2490804446725</v>
      </c>
      <c r="AG142" s="1140">
        <f t="shared" si="430"/>
        <v>4016.1206359296007</v>
      </c>
      <c r="AH142" s="1140">
        <f t="shared" si="430"/>
        <v>3753.3837718968216</v>
      </c>
      <c r="AI142" s="1140">
        <f t="shared" si="430"/>
        <v>3507.8353008381514</v>
      </c>
      <c r="AJ142" s="1140">
        <f t="shared" si="430"/>
        <v>3278.3507484468705</v>
      </c>
      <c r="AK142" s="1140">
        <f t="shared" si="430"/>
        <v>3063.8792041559541</v>
      </c>
      <c r="AL142" s="1140">
        <f t="shared" si="430"/>
        <v>2863.4385085569661</v>
      </c>
      <c r="AM142" s="1141">
        <f t="shared" si="430"/>
        <v>2676.1107556607162</v>
      </c>
    </row>
    <row r="143" spans="2:39" x14ac:dyDescent="0.25">
      <c r="B143" s="1073" t="s">
        <v>996</v>
      </c>
      <c r="C143" s="1137">
        <f t="shared" si="428"/>
        <v>97542.625409214656</v>
      </c>
      <c r="D143" s="1140">
        <f t="shared" ref="D143:AM143" si="431">D130*D$168</f>
        <v>0</v>
      </c>
      <c r="E143" s="1140">
        <f t="shared" si="431"/>
        <v>0</v>
      </c>
      <c r="F143" s="1140">
        <f t="shared" si="431"/>
        <v>0</v>
      </c>
      <c r="G143" s="1140">
        <f t="shared" si="431"/>
        <v>0</v>
      </c>
      <c r="H143" s="1140">
        <f t="shared" si="431"/>
        <v>0</v>
      </c>
      <c r="I143" s="1140">
        <f t="shared" si="431"/>
        <v>0</v>
      </c>
      <c r="J143" s="1140">
        <f t="shared" si="431"/>
        <v>7346.3638979066736</v>
      </c>
      <c r="K143" s="1140">
        <f t="shared" si="431"/>
        <v>6865.760652249227</v>
      </c>
      <c r="L143" s="1140">
        <f t="shared" si="431"/>
        <v>6416.5987404198386</v>
      </c>
      <c r="M143" s="1140">
        <f t="shared" si="431"/>
        <v>5996.8212527288215</v>
      </c>
      <c r="N143" s="1140">
        <f t="shared" si="431"/>
        <v>5604.5058436717945</v>
      </c>
      <c r="O143" s="1140">
        <f t="shared" si="431"/>
        <v>5237.8559286652298</v>
      </c>
      <c r="P143" s="1140">
        <f t="shared" si="431"/>
        <v>4895.1924566964753</v>
      </c>
      <c r="Q143" s="1140">
        <f t="shared" si="431"/>
        <v>4574.9462212116605</v>
      </c>
      <c r="R143" s="1140">
        <f t="shared" si="431"/>
        <v>4275.6506740295881</v>
      </c>
      <c r="S143" s="1140">
        <f t="shared" si="431"/>
        <v>3995.9352093734474</v>
      </c>
      <c r="T143" s="1140">
        <f t="shared" si="431"/>
        <v>3734.5188872649046</v>
      </c>
      <c r="U143" s="1140">
        <f t="shared" si="431"/>
        <v>3490.2045675372933</v>
      </c>
      <c r="V143" s="1140">
        <f t="shared" si="431"/>
        <v>3261.8734276049472</v>
      </c>
      <c r="W143" s="1140">
        <f t="shared" si="431"/>
        <v>3048.4798388831287</v>
      </c>
      <c r="X143" s="1140">
        <f t="shared" si="431"/>
        <v>2849.0465783954469</v>
      </c>
      <c r="Y143" s="1140">
        <f t="shared" si="431"/>
        <v>2662.6603536406046</v>
      </c>
      <c r="Z143" s="1140">
        <f t="shared" si="431"/>
        <v>2488.4676202248643</v>
      </c>
      <c r="AA143" s="1140">
        <f t="shared" si="431"/>
        <v>2325.6706731073496</v>
      </c>
      <c r="AB143" s="1140">
        <f t="shared" si="431"/>
        <v>2173.5239935582704</v>
      </c>
      <c r="AC143" s="1140">
        <f t="shared" si="431"/>
        <v>2031.3308351011876</v>
      </c>
      <c r="AD143" s="1140">
        <f t="shared" si="431"/>
        <v>1898.4400328048478</v>
      </c>
      <c r="AE143" s="1140">
        <f t="shared" si="431"/>
        <v>1774.2430213129421</v>
      </c>
      <c r="AF143" s="1140">
        <f t="shared" si="431"/>
        <v>1658.1710479560209</v>
      </c>
      <c r="AG143" s="1140">
        <f t="shared" si="431"/>
        <v>1549.6925681831972</v>
      </c>
      <c r="AH143" s="1140">
        <f t="shared" si="431"/>
        <v>1448.3108113861651</v>
      </c>
      <c r="AI143" s="1140">
        <f t="shared" si="431"/>
        <v>1353.5615059683787</v>
      </c>
      <c r="AJ143" s="1140">
        <f t="shared" si="431"/>
        <v>1265.0107532414754</v>
      </c>
      <c r="AK143" s="1140">
        <f t="shared" si="431"/>
        <v>1182.2530404125939</v>
      </c>
      <c r="AL143" s="1140">
        <f t="shared" si="431"/>
        <v>1104.9093835631718</v>
      </c>
      <c r="AM143" s="1141">
        <f t="shared" si="431"/>
        <v>1032.6255921151139</v>
      </c>
    </row>
    <row r="144" spans="2:39" x14ac:dyDescent="0.25">
      <c r="B144" s="1073" t="s">
        <v>1018</v>
      </c>
      <c r="C144" s="1137">
        <f t="shared" si="428"/>
        <v>1435292.2125408174</v>
      </c>
      <c r="D144" s="1140">
        <f t="shared" ref="D144:AM144" si="432">D131*D$168</f>
        <v>0</v>
      </c>
      <c r="E144" s="1140">
        <f t="shared" si="432"/>
        <v>0</v>
      </c>
      <c r="F144" s="1140">
        <f t="shared" si="432"/>
        <v>0</v>
      </c>
      <c r="G144" s="1140">
        <f t="shared" si="432"/>
        <v>0</v>
      </c>
      <c r="H144" s="1140">
        <f t="shared" si="432"/>
        <v>0</v>
      </c>
      <c r="I144" s="1140">
        <f t="shared" si="432"/>
        <v>0</v>
      </c>
      <c r="J144" s="1140">
        <f t="shared" si="432"/>
        <v>108098.16579081301</v>
      </c>
      <c r="K144" s="1140">
        <f t="shared" si="432"/>
        <v>101026.32316898412</v>
      </c>
      <c r="L144" s="1140">
        <f t="shared" si="432"/>
        <v>94417.124456994512</v>
      </c>
      <c r="M144" s="1140">
        <f t="shared" si="432"/>
        <v>88240.303230835983</v>
      </c>
      <c r="N144" s="1140">
        <f t="shared" si="432"/>
        <v>82467.573112930826</v>
      </c>
      <c r="O144" s="1140">
        <f t="shared" si="432"/>
        <v>77072.498236383952</v>
      </c>
      <c r="P144" s="1140">
        <f t="shared" si="432"/>
        <v>72030.372183536398</v>
      </c>
      <c r="Q144" s="1140">
        <f t="shared" si="432"/>
        <v>67318.104844426547</v>
      </c>
      <c r="R144" s="1140">
        <f t="shared" si="432"/>
        <v>62914.116677034152</v>
      </c>
      <c r="S144" s="1140">
        <f t="shared" si="432"/>
        <v>58798.239885078656</v>
      </c>
      <c r="T144" s="1140">
        <f t="shared" si="432"/>
        <v>54951.626060821174</v>
      </c>
      <c r="U144" s="1140">
        <f t="shared" si="432"/>
        <v>51356.65986992632</v>
      </c>
      <c r="V144" s="1140">
        <f t="shared" si="432"/>
        <v>47996.878383108713</v>
      </c>
      <c r="W144" s="1140">
        <f t="shared" si="432"/>
        <v>44856.895685148331</v>
      </c>
      <c r="X144" s="1140">
        <f t="shared" si="432"/>
        <v>41922.332416026482</v>
      </c>
      <c r="Y144" s="1140">
        <f t="shared" si="432"/>
        <v>39179.749921520073</v>
      </c>
      <c r="Z144" s="1140">
        <f t="shared" si="432"/>
        <v>36616.588711700999</v>
      </c>
      <c r="AA144" s="1140">
        <f t="shared" si="432"/>
        <v>34221.110945514956</v>
      </c>
      <c r="AB144" s="1140">
        <f t="shared" si="432"/>
        <v>31982.346678051355</v>
      </c>
      <c r="AC144" s="1140">
        <f t="shared" si="432"/>
        <v>29890.043624347065</v>
      </c>
      <c r="AD144" s="1140">
        <f t="shared" si="432"/>
        <v>27934.620209670149</v>
      </c>
      <c r="AE144" s="1140">
        <f t="shared" si="432"/>
        <v>26107.121691280518</v>
      </c>
      <c r="AF144" s="1140">
        <f t="shared" si="432"/>
        <v>24399.179150729455</v>
      </c>
      <c r="AG144" s="1140">
        <f t="shared" si="432"/>
        <v>22802.971168906035</v>
      </c>
      <c r="AH144" s="1140">
        <f t="shared" si="432"/>
        <v>21311.188008323392</v>
      </c>
      <c r="AI144" s="1140">
        <f t="shared" si="432"/>
        <v>19916.998138619994</v>
      </c>
      <c r="AJ144" s="1140">
        <f t="shared" si="432"/>
        <v>18614.016951981303</v>
      </c>
      <c r="AK144" s="1140">
        <f t="shared" si="432"/>
        <v>17396.277525216174</v>
      </c>
      <c r="AL144" s="1140">
        <f t="shared" si="432"/>
        <v>16258.20329459455</v>
      </c>
      <c r="AM144" s="1141">
        <f t="shared" si="432"/>
        <v>15194.582518312665</v>
      </c>
    </row>
    <row r="145" spans="2:39" x14ac:dyDescent="0.25">
      <c r="B145" s="667" t="s">
        <v>575</v>
      </c>
      <c r="C145" s="1137">
        <f t="shared" si="428"/>
        <v>1696860.1477523115</v>
      </c>
      <c r="D145" s="1140">
        <f t="shared" ref="D145:AM145" si="433">D132*D$168</f>
        <v>0</v>
      </c>
      <c r="E145" s="1140">
        <f t="shared" si="433"/>
        <v>0</v>
      </c>
      <c r="F145" s="1140">
        <f t="shared" si="433"/>
        <v>0</v>
      </c>
      <c r="G145" s="1140">
        <f t="shared" si="433"/>
        <v>0</v>
      </c>
      <c r="H145" s="1140">
        <f t="shared" si="433"/>
        <v>0</v>
      </c>
      <c r="I145" s="1140">
        <f t="shared" si="433"/>
        <v>0</v>
      </c>
      <c r="J145" s="1140">
        <f t="shared" si="433"/>
        <v>0</v>
      </c>
      <c r="K145" s="1140">
        <f t="shared" si="433"/>
        <v>0</v>
      </c>
      <c r="L145" s="1140">
        <f t="shared" si="433"/>
        <v>0</v>
      </c>
      <c r="M145" s="1140">
        <f t="shared" si="433"/>
        <v>0</v>
      </c>
      <c r="N145" s="1140">
        <f t="shared" si="433"/>
        <v>0</v>
      </c>
      <c r="O145" s="1140">
        <f t="shared" si="433"/>
        <v>0</v>
      </c>
      <c r="P145" s="1140">
        <f t="shared" si="433"/>
        <v>0</v>
      </c>
      <c r="Q145" s="1140">
        <f t="shared" si="433"/>
        <v>0</v>
      </c>
      <c r="R145" s="1140">
        <f t="shared" si="433"/>
        <v>0</v>
      </c>
      <c r="S145" s="1140">
        <f t="shared" si="433"/>
        <v>0</v>
      </c>
      <c r="T145" s="1140">
        <f t="shared" si="433"/>
        <v>0</v>
      </c>
      <c r="U145" s="1140">
        <f t="shared" si="433"/>
        <v>0</v>
      </c>
      <c r="V145" s="1140">
        <f t="shared" si="433"/>
        <v>0</v>
      </c>
      <c r="W145" s="1140">
        <f t="shared" si="433"/>
        <v>0</v>
      </c>
      <c r="X145" s="1140">
        <f t="shared" si="433"/>
        <v>0</v>
      </c>
      <c r="Y145" s="1140">
        <f t="shared" si="433"/>
        <v>0</v>
      </c>
      <c r="Z145" s="1140">
        <f t="shared" si="433"/>
        <v>0</v>
      </c>
      <c r="AA145" s="1140">
        <f t="shared" si="433"/>
        <v>0</v>
      </c>
      <c r="AB145" s="1140">
        <f t="shared" si="433"/>
        <v>0</v>
      </c>
      <c r="AC145" s="1140">
        <f t="shared" si="433"/>
        <v>0</v>
      </c>
      <c r="AD145" s="1140">
        <f t="shared" si="433"/>
        <v>0</v>
      </c>
      <c r="AE145" s="1140">
        <f t="shared" si="433"/>
        <v>0</v>
      </c>
      <c r="AF145" s="1140">
        <f t="shared" si="433"/>
        <v>0</v>
      </c>
      <c r="AG145" s="1140">
        <f t="shared" si="433"/>
        <v>0</v>
      </c>
      <c r="AH145" s="1140">
        <f t="shared" si="433"/>
        <v>0</v>
      </c>
      <c r="AI145" s="1140">
        <f t="shared" si="433"/>
        <v>0</v>
      </c>
      <c r="AJ145" s="1140">
        <f t="shared" si="433"/>
        <v>0</v>
      </c>
      <c r="AK145" s="1140">
        <f t="shared" si="433"/>
        <v>0</v>
      </c>
      <c r="AL145" s="1140">
        <f t="shared" si="433"/>
        <v>0</v>
      </c>
      <c r="AM145" s="1141">
        <f t="shared" si="433"/>
        <v>1696860.1477523115</v>
      </c>
    </row>
    <row r="146" spans="2:39" x14ac:dyDescent="0.25">
      <c r="B146" s="668" t="s">
        <v>568</v>
      </c>
      <c r="C146" s="1144">
        <f>SUM(D146:AM146)</f>
        <v>41984806.879100099</v>
      </c>
      <c r="D146" s="1144">
        <f t="shared" ref="D146:AK146" si="434">SUM(D141:D145)</f>
        <v>0</v>
      </c>
      <c r="E146" s="1144">
        <f t="shared" si="434"/>
        <v>0</v>
      </c>
      <c r="F146" s="1144">
        <f t="shared" si="434"/>
        <v>0</v>
      </c>
      <c r="G146" s="1144">
        <f t="shared" si="434"/>
        <v>0</v>
      </c>
      <c r="H146" s="1144">
        <f t="shared" si="434"/>
        <v>0</v>
      </c>
      <c r="I146" s="1144">
        <f t="shared" si="434"/>
        <v>0</v>
      </c>
      <c r="J146" s="1144">
        <f t="shared" si="434"/>
        <v>3034262.3662864901</v>
      </c>
      <c r="K146" s="1144">
        <f t="shared" si="434"/>
        <v>2835759.2208284959</v>
      </c>
      <c r="L146" s="1144">
        <f t="shared" si="434"/>
        <v>2650242.2624565386</v>
      </c>
      <c r="M146" s="1144">
        <f t="shared" si="434"/>
        <v>2476861.9275294752</v>
      </c>
      <c r="N146" s="1144">
        <f t="shared" si="434"/>
        <v>2314824.2313359575</v>
      </c>
      <c r="O146" s="1144">
        <f t="shared" si="434"/>
        <v>2163387.1320896805</v>
      </c>
      <c r="P146" s="1144">
        <f t="shared" si="434"/>
        <v>2021857.1327940936</v>
      </c>
      <c r="Q146" s="1144">
        <f t="shared" si="434"/>
        <v>1889586.1054150409</v>
      </c>
      <c r="R146" s="1144">
        <f t="shared" si="434"/>
        <v>1765968.322817795</v>
      </c>
      <c r="S146" s="1144">
        <f t="shared" si="434"/>
        <v>1650437.6848764445</v>
      </c>
      <c r="T146" s="1144">
        <f t="shared" si="434"/>
        <v>1542465.1260527514</v>
      </c>
      <c r="U146" s="1144">
        <f t="shared" si="434"/>
        <v>1441556.1925726647</v>
      </c>
      <c r="V146" s="1144">
        <f t="shared" si="434"/>
        <v>1347248.7781052943</v>
      </c>
      <c r="W146" s="1144">
        <f t="shared" si="434"/>
        <v>1259111.0075750414</v>
      </c>
      <c r="X146" s="1144">
        <f t="shared" si="434"/>
        <v>1176739.2594159264</v>
      </c>
      <c r="Y146" s="1144">
        <f t="shared" si="434"/>
        <v>1099756.3172111462</v>
      </c>
      <c r="Z146" s="1144">
        <f t="shared" si="434"/>
        <v>1027809.6422534076</v>
      </c>
      <c r="AA146" s="1144">
        <f t="shared" si="434"/>
        <v>960569.75911533448</v>
      </c>
      <c r="AB146" s="1144">
        <f t="shared" si="434"/>
        <v>897728.74683676101</v>
      </c>
      <c r="AC146" s="1144">
        <f t="shared" si="434"/>
        <v>838998.82881940296</v>
      </c>
      <c r="AD146" s="1144">
        <f t="shared" si="434"/>
        <v>784111.05497140437</v>
      </c>
      <c r="AE146" s="1144">
        <f t="shared" si="434"/>
        <v>732814.07006673329</v>
      </c>
      <c r="AF146" s="1144">
        <f t="shared" si="434"/>
        <v>684872.96267918986</v>
      </c>
      <c r="AG146" s="1144">
        <f t="shared" si="434"/>
        <v>640068.18941980379</v>
      </c>
      <c r="AH146" s="1144">
        <f t="shared" si="434"/>
        <v>598194.5695512183</v>
      </c>
      <c r="AI146" s="1144">
        <f t="shared" si="434"/>
        <v>559060.34537497023</v>
      </c>
      <c r="AJ146" s="1144">
        <f t="shared" si="434"/>
        <v>522486.30408875743</v>
      </c>
      <c r="AK146" s="1145">
        <f t="shared" si="434"/>
        <v>488304.95709229668</v>
      </c>
      <c r="AL146" s="1145">
        <f t="shared" ref="AL146:AM146" si="435">SUM(AL141:AL145)</f>
        <v>456359.77298345475</v>
      </c>
      <c r="AM146" s="1145">
        <f t="shared" si="435"/>
        <v>2123364.6084845122</v>
      </c>
    </row>
    <row r="147" spans="2:39" x14ac:dyDescent="0.25">
      <c r="B147" s="667" t="s">
        <v>569</v>
      </c>
      <c r="C147" s="1137">
        <f t="shared" ref="C147:C148" si="436">SUM(D147:AM147)</f>
        <v>36421327.398426563</v>
      </c>
      <c r="D147" s="1140">
        <f t="shared" ref="D147:AM147" si="437">D134*D$168</f>
        <v>0</v>
      </c>
      <c r="E147" s="1140">
        <f t="shared" si="437"/>
        <v>4243028.74578455</v>
      </c>
      <c r="F147" s="1140">
        <f t="shared" si="437"/>
        <v>0</v>
      </c>
      <c r="G147" s="1140">
        <f t="shared" si="437"/>
        <v>16856498.819038562</v>
      </c>
      <c r="H147" s="1140">
        <f t="shared" si="437"/>
        <v>15126353.055118708</v>
      </c>
      <c r="I147" s="1140">
        <f t="shared" si="437"/>
        <v>195446.77848474297</v>
      </c>
      <c r="J147" s="1140">
        <f t="shared" si="437"/>
        <v>0</v>
      </c>
      <c r="K147" s="1140">
        <f t="shared" si="437"/>
        <v>0</v>
      </c>
      <c r="L147" s="1140">
        <f t="shared" si="437"/>
        <v>0</v>
      </c>
      <c r="M147" s="1140">
        <f t="shared" si="437"/>
        <v>0</v>
      </c>
      <c r="N147" s="1140">
        <f t="shared" si="437"/>
        <v>0</v>
      </c>
      <c r="O147" s="1140">
        <f t="shared" si="437"/>
        <v>0</v>
      </c>
      <c r="P147" s="1140">
        <f t="shared" si="437"/>
        <v>0</v>
      </c>
      <c r="Q147" s="1140">
        <f t="shared" si="437"/>
        <v>0</v>
      </c>
      <c r="R147" s="1140">
        <f t="shared" si="437"/>
        <v>0</v>
      </c>
      <c r="S147" s="1140">
        <f t="shared" si="437"/>
        <v>0</v>
      </c>
      <c r="T147" s="1140">
        <f t="shared" si="437"/>
        <v>0</v>
      </c>
      <c r="U147" s="1140">
        <f t="shared" si="437"/>
        <v>0</v>
      </c>
      <c r="V147" s="1140">
        <f t="shared" si="437"/>
        <v>0</v>
      </c>
      <c r="W147" s="1140">
        <f t="shared" si="437"/>
        <v>0</v>
      </c>
      <c r="X147" s="1140">
        <f t="shared" si="437"/>
        <v>0</v>
      </c>
      <c r="Y147" s="1140">
        <f t="shared" si="437"/>
        <v>0</v>
      </c>
      <c r="Z147" s="1140">
        <f t="shared" si="437"/>
        <v>0</v>
      </c>
      <c r="AA147" s="1140">
        <f t="shared" si="437"/>
        <v>0</v>
      </c>
      <c r="AB147" s="1140">
        <f t="shared" si="437"/>
        <v>0</v>
      </c>
      <c r="AC147" s="1140">
        <f t="shared" si="437"/>
        <v>0</v>
      </c>
      <c r="AD147" s="1140">
        <f t="shared" si="437"/>
        <v>0</v>
      </c>
      <c r="AE147" s="1140">
        <f t="shared" si="437"/>
        <v>0</v>
      </c>
      <c r="AF147" s="1140">
        <f t="shared" si="437"/>
        <v>0</v>
      </c>
      <c r="AG147" s="1140">
        <f t="shared" si="437"/>
        <v>0</v>
      </c>
      <c r="AH147" s="1140">
        <f t="shared" si="437"/>
        <v>0</v>
      </c>
      <c r="AI147" s="1140">
        <f t="shared" si="437"/>
        <v>0</v>
      </c>
      <c r="AJ147" s="1140">
        <f t="shared" si="437"/>
        <v>0</v>
      </c>
      <c r="AK147" s="1140">
        <f t="shared" si="437"/>
        <v>0</v>
      </c>
      <c r="AL147" s="1140">
        <f t="shared" si="437"/>
        <v>0</v>
      </c>
      <c r="AM147" s="1140">
        <f t="shared" si="437"/>
        <v>0</v>
      </c>
    </row>
    <row r="148" spans="2:39" x14ac:dyDescent="0.25">
      <c r="B148" s="667" t="s">
        <v>583</v>
      </c>
      <c r="C148" s="1137">
        <f t="shared" si="436"/>
        <v>0</v>
      </c>
      <c r="D148" s="1140">
        <f t="shared" ref="D148:AM148" si="438">D135*D$168</f>
        <v>0</v>
      </c>
      <c r="E148" s="1140">
        <f t="shared" si="438"/>
        <v>0</v>
      </c>
      <c r="F148" s="1140">
        <f t="shared" si="438"/>
        <v>0</v>
      </c>
      <c r="G148" s="1140">
        <f t="shared" si="438"/>
        <v>0</v>
      </c>
      <c r="H148" s="1140">
        <f t="shared" si="438"/>
        <v>0</v>
      </c>
      <c r="I148" s="1140">
        <f t="shared" si="438"/>
        <v>0</v>
      </c>
      <c r="J148" s="1140">
        <f t="shared" si="438"/>
        <v>0</v>
      </c>
      <c r="K148" s="1140">
        <f t="shared" si="438"/>
        <v>0</v>
      </c>
      <c r="L148" s="1140">
        <f t="shared" si="438"/>
        <v>0</v>
      </c>
      <c r="M148" s="1140">
        <f t="shared" si="438"/>
        <v>0</v>
      </c>
      <c r="N148" s="1140">
        <f t="shared" si="438"/>
        <v>0</v>
      </c>
      <c r="O148" s="1140">
        <f t="shared" si="438"/>
        <v>0</v>
      </c>
      <c r="P148" s="1140">
        <f t="shared" si="438"/>
        <v>0</v>
      </c>
      <c r="Q148" s="1140">
        <f t="shared" si="438"/>
        <v>0</v>
      </c>
      <c r="R148" s="1140">
        <f t="shared" si="438"/>
        <v>0</v>
      </c>
      <c r="S148" s="1140">
        <f t="shared" si="438"/>
        <v>0</v>
      </c>
      <c r="T148" s="1140">
        <f t="shared" si="438"/>
        <v>0</v>
      </c>
      <c r="U148" s="1140">
        <f t="shared" si="438"/>
        <v>0</v>
      </c>
      <c r="V148" s="1140">
        <f t="shared" si="438"/>
        <v>0</v>
      </c>
      <c r="W148" s="1140">
        <f t="shared" si="438"/>
        <v>0</v>
      </c>
      <c r="X148" s="1140">
        <f t="shared" si="438"/>
        <v>0</v>
      </c>
      <c r="Y148" s="1140">
        <f t="shared" si="438"/>
        <v>0</v>
      </c>
      <c r="Z148" s="1140">
        <f t="shared" si="438"/>
        <v>0</v>
      </c>
      <c r="AA148" s="1140">
        <f t="shared" si="438"/>
        <v>0</v>
      </c>
      <c r="AB148" s="1140">
        <f t="shared" si="438"/>
        <v>0</v>
      </c>
      <c r="AC148" s="1140">
        <f t="shared" si="438"/>
        <v>0</v>
      </c>
      <c r="AD148" s="1140">
        <f t="shared" si="438"/>
        <v>0</v>
      </c>
      <c r="AE148" s="1140">
        <f t="shared" si="438"/>
        <v>0</v>
      </c>
      <c r="AF148" s="1140">
        <f t="shared" si="438"/>
        <v>0</v>
      </c>
      <c r="AG148" s="1140">
        <f t="shared" si="438"/>
        <v>0</v>
      </c>
      <c r="AH148" s="1140">
        <f t="shared" si="438"/>
        <v>0</v>
      </c>
      <c r="AI148" s="1140">
        <f t="shared" si="438"/>
        <v>0</v>
      </c>
      <c r="AJ148" s="1140">
        <f t="shared" si="438"/>
        <v>0</v>
      </c>
      <c r="AK148" s="1140">
        <f t="shared" si="438"/>
        <v>0</v>
      </c>
      <c r="AL148" s="1140">
        <f t="shared" si="438"/>
        <v>0</v>
      </c>
      <c r="AM148" s="1140">
        <f t="shared" si="438"/>
        <v>0</v>
      </c>
    </row>
    <row r="149" spans="2:39" x14ac:dyDescent="0.25">
      <c r="B149" s="668" t="s">
        <v>570</v>
      </c>
      <c r="C149" s="1144">
        <f>SUM(D149:AM149)</f>
        <v>36421327.398426563</v>
      </c>
      <c r="D149" s="1144">
        <f t="shared" ref="D149:F149" si="439">SUM(D147:D148)</f>
        <v>0</v>
      </c>
      <c r="E149" s="1144">
        <f t="shared" si="439"/>
        <v>4243028.74578455</v>
      </c>
      <c r="F149" s="1144">
        <f t="shared" si="439"/>
        <v>0</v>
      </c>
      <c r="G149" s="1144">
        <f>SUM(G147:G148)</f>
        <v>16856498.819038562</v>
      </c>
      <c r="H149" s="1144">
        <f t="shared" ref="H149:AK149" si="440">SUM(H147:H148)</f>
        <v>15126353.055118708</v>
      </c>
      <c r="I149" s="1144">
        <f t="shared" si="440"/>
        <v>195446.77848474297</v>
      </c>
      <c r="J149" s="1144">
        <f t="shared" si="440"/>
        <v>0</v>
      </c>
      <c r="K149" s="1144">
        <f t="shared" si="440"/>
        <v>0</v>
      </c>
      <c r="L149" s="1144">
        <f t="shared" si="440"/>
        <v>0</v>
      </c>
      <c r="M149" s="1144">
        <f t="shared" si="440"/>
        <v>0</v>
      </c>
      <c r="N149" s="1144">
        <f t="shared" si="440"/>
        <v>0</v>
      </c>
      <c r="O149" s="1144">
        <f t="shared" si="440"/>
        <v>0</v>
      </c>
      <c r="P149" s="1144">
        <f t="shared" si="440"/>
        <v>0</v>
      </c>
      <c r="Q149" s="1144">
        <f t="shared" si="440"/>
        <v>0</v>
      </c>
      <c r="R149" s="1144">
        <f t="shared" si="440"/>
        <v>0</v>
      </c>
      <c r="S149" s="1144">
        <f t="shared" si="440"/>
        <v>0</v>
      </c>
      <c r="T149" s="1144">
        <f t="shared" si="440"/>
        <v>0</v>
      </c>
      <c r="U149" s="1144">
        <f t="shared" si="440"/>
        <v>0</v>
      </c>
      <c r="V149" s="1144">
        <f t="shared" si="440"/>
        <v>0</v>
      </c>
      <c r="W149" s="1144">
        <f t="shared" si="440"/>
        <v>0</v>
      </c>
      <c r="X149" s="1144">
        <f t="shared" si="440"/>
        <v>0</v>
      </c>
      <c r="Y149" s="1144">
        <f t="shared" si="440"/>
        <v>0</v>
      </c>
      <c r="Z149" s="1144">
        <f t="shared" si="440"/>
        <v>0</v>
      </c>
      <c r="AA149" s="1144">
        <f t="shared" si="440"/>
        <v>0</v>
      </c>
      <c r="AB149" s="1144">
        <f t="shared" si="440"/>
        <v>0</v>
      </c>
      <c r="AC149" s="1144">
        <f t="shared" si="440"/>
        <v>0</v>
      </c>
      <c r="AD149" s="1144">
        <f t="shared" si="440"/>
        <v>0</v>
      </c>
      <c r="AE149" s="1144">
        <f t="shared" si="440"/>
        <v>0</v>
      </c>
      <c r="AF149" s="1144">
        <f t="shared" si="440"/>
        <v>0</v>
      </c>
      <c r="AG149" s="1144">
        <f t="shared" si="440"/>
        <v>0</v>
      </c>
      <c r="AH149" s="1144">
        <f t="shared" si="440"/>
        <v>0</v>
      </c>
      <c r="AI149" s="1144">
        <f t="shared" si="440"/>
        <v>0</v>
      </c>
      <c r="AJ149" s="1144">
        <f t="shared" si="440"/>
        <v>0</v>
      </c>
      <c r="AK149" s="1145">
        <f t="shared" si="440"/>
        <v>0</v>
      </c>
      <c r="AL149" s="1145">
        <f t="shared" ref="AL149:AM149" si="441">SUM(AL147:AL148)</f>
        <v>0</v>
      </c>
      <c r="AM149" s="1145">
        <f t="shared" si="441"/>
        <v>0</v>
      </c>
    </row>
    <row r="150" spans="2:39" x14ac:dyDescent="0.25">
      <c r="B150" s="726" t="s">
        <v>612</v>
      </c>
      <c r="C150" s="1146">
        <f>SUM(D150:AM150)</f>
        <v>5563479.4806735255</v>
      </c>
      <c r="D150" s="1146">
        <f>D146-D149</f>
        <v>0</v>
      </c>
      <c r="E150" s="1146">
        <f t="shared" ref="E150:AK150" si="442">E146-E149</f>
        <v>-4243028.74578455</v>
      </c>
      <c r="F150" s="1146">
        <f t="shared" si="442"/>
        <v>0</v>
      </c>
      <c r="G150" s="1146">
        <f t="shared" si="442"/>
        <v>-16856498.819038562</v>
      </c>
      <c r="H150" s="1146">
        <f t="shared" si="442"/>
        <v>-15126353.055118708</v>
      </c>
      <c r="I150" s="1146">
        <f t="shared" si="442"/>
        <v>-195446.77848474297</v>
      </c>
      <c r="J150" s="1146">
        <f t="shared" si="442"/>
        <v>3034262.3662864901</v>
      </c>
      <c r="K150" s="1146">
        <f t="shared" si="442"/>
        <v>2835759.2208284959</v>
      </c>
      <c r="L150" s="1146">
        <f t="shared" si="442"/>
        <v>2650242.2624565386</v>
      </c>
      <c r="M150" s="1146">
        <f t="shared" si="442"/>
        <v>2476861.9275294752</v>
      </c>
      <c r="N150" s="1146">
        <f t="shared" si="442"/>
        <v>2314824.2313359575</v>
      </c>
      <c r="O150" s="1146">
        <f t="shared" si="442"/>
        <v>2163387.1320896805</v>
      </c>
      <c r="P150" s="1146">
        <f t="shared" si="442"/>
        <v>2021857.1327940936</v>
      </c>
      <c r="Q150" s="1146">
        <f t="shared" si="442"/>
        <v>1889586.1054150409</v>
      </c>
      <c r="R150" s="1146">
        <f t="shared" si="442"/>
        <v>1765968.322817795</v>
      </c>
      <c r="S150" s="1146">
        <f t="shared" si="442"/>
        <v>1650437.6848764445</v>
      </c>
      <c r="T150" s="1146">
        <f t="shared" si="442"/>
        <v>1542465.1260527514</v>
      </c>
      <c r="U150" s="1146">
        <f t="shared" si="442"/>
        <v>1441556.1925726647</v>
      </c>
      <c r="V150" s="1146">
        <f t="shared" si="442"/>
        <v>1347248.7781052943</v>
      </c>
      <c r="W150" s="1146">
        <f t="shared" si="442"/>
        <v>1259111.0075750414</v>
      </c>
      <c r="X150" s="1146">
        <f t="shared" si="442"/>
        <v>1176739.2594159264</v>
      </c>
      <c r="Y150" s="1146">
        <f t="shared" si="442"/>
        <v>1099756.3172111462</v>
      </c>
      <c r="Z150" s="1146">
        <f t="shared" si="442"/>
        <v>1027809.6422534076</v>
      </c>
      <c r="AA150" s="1146">
        <f t="shared" si="442"/>
        <v>960569.75911533448</v>
      </c>
      <c r="AB150" s="1146">
        <f t="shared" si="442"/>
        <v>897728.74683676101</v>
      </c>
      <c r="AC150" s="1146">
        <f t="shared" si="442"/>
        <v>838998.82881940296</v>
      </c>
      <c r="AD150" s="1146">
        <f t="shared" si="442"/>
        <v>784111.05497140437</v>
      </c>
      <c r="AE150" s="1146">
        <f t="shared" si="442"/>
        <v>732814.07006673329</v>
      </c>
      <c r="AF150" s="1146">
        <f t="shared" si="442"/>
        <v>684872.96267918986</v>
      </c>
      <c r="AG150" s="1146">
        <f t="shared" si="442"/>
        <v>640068.18941980379</v>
      </c>
      <c r="AH150" s="1146">
        <f t="shared" si="442"/>
        <v>598194.5695512183</v>
      </c>
      <c r="AI150" s="1146">
        <f t="shared" si="442"/>
        <v>559060.34537497023</v>
      </c>
      <c r="AJ150" s="1146">
        <f t="shared" si="442"/>
        <v>522486.30408875743</v>
      </c>
      <c r="AK150" s="1147">
        <f t="shared" si="442"/>
        <v>488304.95709229668</v>
      </c>
      <c r="AL150" s="1147">
        <f t="shared" ref="AL150:AM150" si="443">AL146-AL149</f>
        <v>456359.77298345475</v>
      </c>
      <c r="AM150" s="1147">
        <f t="shared" si="443"/>
        <v>2123364.6084845122</v>
      </c>
    </row>
    <row r="151" spans="2:39" x14ac:dyDescent="0.25">
      <c r="B151" s="727" t="s">
        <v>613</v>
      </c>
      <c r="C151" s="1148"/>
      <c r="D151" s="1148">
        <f>D150</f>
        <v>0</v>
      </c>
      <c r="E151" s="1148">
        <f>D151+E150</f>
        <v>-4243028.74578455</v>
      </c>
      <c r="F151" s="1148">
        <f t="shared" ref="F151" si="444">E151+F150</f>
        <v>-4243028.74578455</v>
      </c>
      <c r="G151" s="1148">
        <f t="shared" ref="G151" si="445">F151+G150</f>
        <v>-21099527.564823113</v>
      </c>
      <c r="H151" s="1148">
        <f t="shared" ref="H151" si="446">G151+H150</f>
        <v>-36225880.619941823</v>
      </c>
      <c r="I151" s="1148">
        <f t="shared" ref="I151" si="447">H151+I150</f>
        <v>-36421327.398426563</v>
      </c>
      <c r="J151" s="1148">
        <f t="shared" ref="J151" si="448">I151+J150</f>
        <v>-33387065.032140072</v>
      </c>
      <c r="K151" s="1148">
        <f t="shared" ref="K151" si="449">J151+K150</f>
        <v>-30551305.811311577</v>
      </c>
      <c r="L151" s="1148">
        <f t="shared" ref="L151" si="450">K151+L150</f>
        <v>-27901063.548855036</v>
      </c>
      <c r="M151" s="1148">
        <f t="shared" ref="M151" si="451">L151+M150</f>
        <v>-25424201.62132556</v>
      </c>
      <c r="N151" s="1148">
        <f t="shared" ref="N151" si="452">M151+N150</f>
        <v>-23109377.389989603</v>
      </c>
      <c r="O151" s="1148">
        <f t="shared" ref="O151" si="453">N151+O150</f>
        <v>-20945990.257899921</v>
      </c>
      <c r="P151" s="1148">
        <f t="shared" ref="P151" si="454">O151+P150</f>
        <v>-18924133.125105828</v>
      </c>
      <c r="Q151" s="1148">
        <f t="shared" ref="Q151" si="455">P151+Q150</f>
        <v>-17034547.019690786</v>
      </c>
      <c r="R151" s="1148">
        <f t="shared" ref="R151" si="456">Q151+R150</f>
        <v>-15268578.696872991</v>
      </c>
      <c r="S151" s="1148">
        <f t="shared" ref="S151" si="457">R151+S150</f>
        <v>-13618141.011996547</v>
      </c>
      <c r="T151" s="1148">
        <f t="shared" ref="T151" si="458">S151+T150</f>
        <v>-12075675.885943795</v>
      </c>
      <c r="U151" s="1148">
        <f t="shared" ref="U151" si="459">T151+U150</f>
        <v>-10634119.69337113</v>
      </c>
      <c r="V151" s="1148">
        <f t="shared" ref="V151" si="460">U151+V150</f>
        <v>-9286870.9152658358</v>
      </c>
      <c r="W151" s="1148">
        <f t="shared" ref="W151" si="461">V151+W150</f>
        <v>-8027759.9076907942</v>
      </c>
      <c r="X151" s="1148">
        <f t="shared" ref="X151" si="462">W151+X150</f>
        <v>-6851020.6482748678</v>
      </c>
      <c r="Y151" s="1148">
        <f t="shared" ref="Y151" si="463">X151+Y150</f>
        <v>-5751264.3310637213</v>
      </c>
      <c r="Z151" s="1148">
        <f>Y151+Z150</f>
        <v>-4723454.6888103141</v>
      </c>
      <c r="AA151" s="1148">
        <f>Z151+AA150</f>
        <v>-3762884.9296949795</v>
      </c>
      <c r="AB151" s="1148">
        <f t="shared" ref="AB151" si="464">AA151+AB150</f>
        <v>-2865156.1828582184</v>
      </c>
      <c r="AC151" s="1148">
        <f t="shared" ref="AC151" si="465">AB151+AC150</f>
        <v>-2026157.3540388155</v>
      </c>
      <c r="AD151" s="1148">
        <f t="shared" ref="AD151" si="466">AC151+AD150</f>
        <v>-1242046.2990674111</v>
      </c>
      <c r="AE151" s="1148">
        <f t="shared" ref="AE151" si="467">AD151+AE150</f>
        <v>-509232.22900067782</v>
      </c>
      <c r="AF151" s="1148">
        <f t="shared" ref="AF151" si="468">AE151+AF150</f>
        <v>175640.73367851204</v>
      </c>
      <c r="AG151" s="1148">
        <f t="shared" ref="AG151" si="469">AF151+AG150</f>
        <v>815708.92309831583</v>
      </c>
      <c r="AH151" s="1148">
        <f t="shared" ref="AH151" si="470">AG151+AH150</f>
        <v>1413903.4926495343</v>
      </c>
      <c r="AI151" s="1148">
        <f t="shared" ref="AI151" si="471">AH151+AI150</f>
        <v>1972963.8380245045</v>
      </c>
      <c r="AJ151" s="1148">
        <f t="shared" ref="AJ151" si="472">AI151+AJ150</f>
        <v>2495450.1421132619</v>
      </c>
      <c r="AK151" s="1149">
        <f t="shared" ref="AK151" si="473">AJ151+AK150</f>
        <v>2983755.0992055587</v>
      </c>
      <c r="AL151" s="1149">
        <f t="shared" ref="AL151" si="474">AK151+AL150</f>
        <v>3440114.8721890133</v>
      </c>
      <c r="AM151" s="1149">
        <f t="shared" ref="AM151" si="475">AL151+AM150</f>
        <v>5563479.4806735255</v>
      </c>
    </row>
    <row r="152" spans="2:39" s="657" customFormat="1" x14ac:dyDescent="0.25">
      <c r="B152" s="935"/>
      <c r="C152" s="1150"/>
      <c r="D152" s="1150"/>
      <c r="E152" s="1150"/>
      <c r="F152" s="1150"/>
      <c r="G152" s="1150"/>
      <c r="H152" s="1150"/>
      <c r="I152" s="1150"/>
      <c r="J152" s="1150"/>
      <c r="K152" s="1150"/>
      <c r="L152" s="1150"/>
      <c r="M152" s="1150"/>
      <c r="N152" s="1150"/>
      <c r="O152" s="1150"/>
      <c r="P152" s="1150"/>
      <c r="Q152" s="1150"/>
      <c r="R152" s="1150"/>
      <c r="S152" s="1150"/>
      <c r="T152" s="1150"/>
      <c r="U152" s="1150"/>
      <c r="V152" s="1150"/>
      <c r="W152" s="1150"/>
      <c r="X152" s="1150"/>
      <c r="Y152" s="1150"/>
      <c r="Z152" s="1150"/>
      <c r="AA152" s="1150"/>
      <c r="AB152" s="1150"/>
      <c r="AC152" s="1150"/>
      <c r="AD152" s="1150"/>
      <c r="AE152" s="1150"/>
      <c r="AF152" s="1150"/>
      <c r="AG152" s="1150"/>
      <c r="AH152" s="1150"/>
      <c r="AI152" s="1150"/>
      <c r="AJ152" s="1150"/>
      <c r="AK152" s="1150"/>
      <c r="AL152" s="1150"/>
      <c r="AM152" s="1150"/>
    </row>
    <row r="153" spans="2:39" x14ac:dyDescent="0.25">
      <c r="B153" s="725" t="s">
        <v>1071</v>
      </c>
      <c r="C153" s="1151" t="s">
        <v>393</v>
      </c>
      <c r="D153" s="1151">
        <f t="shared" ref="D153:AM153" si="476">D140</f>
        <v>2019</v>
      </c>
      <c r="E153" s="1151">
        <f t="shared" si="476"/>
        <v>2020</v>
      </c>
      <c r="F153" s="1151">
        <f t="shared" si="476"/>
        <v>2021</v>
      </c>
      <c r="G153" s="1151">
        <f t="shared" si="476"/>
        <v>2022</v>
      </c>
      <c r="H153" s="1151">
        <f t="shared" si="476"/>
        <v>2023</v>
      </c>
      <c r="I153" s="1151">
        <f t="shared" si="476"/>
        <v>2024</v>
      </c>
      <c r="J153" s="1151">
        <f t="shared" si="476"/>
        <v>2025</v>
      </c>
      <c r="K153" s="1151">
        <f t="shared" si="476"/>
        <v>2026</v>
      </c>
      <c r="L153" s="1151">
        <f t="shared" si="476"/>
        <v>2027</v>
      </c>
      <c r="M153" s="1151">
        <f t="shared" si="476"/>
        <v>2028</v>
      </c>
      <c r="N153" s="1151">
        <f t="shared" si="476"/>
        <v>2029</v>
      </c>
      <c r="O153" s="1151">
        <f t="shared" si="476"/>
        <v>2030</v>
      </c>
      <c r="P153" s="1151">
        <f t="shared" si="476"/>
        <v>2031</v>
      </c>
      <c r="Q153" s="1151">
        <f t="shared" si="476"/>
        <v>2032</v>
      </c>
      <c r="R153" s="1151">
        <f t="shared" si="476"/>
        <v>2033</v>
      </c>
      <c r="S153" s="1151">
        <f t="shared" si="476"/>
        <v>2034</v>
      </c>
      <c r="T153" s="1151">
        <f t="shared" si="476"/>
        <v>2035</v>
      </c>
      <c r="U153" s="1151">
        <f t="shared" si="476"/>
        <v>2036</v>
      </c>
      <c r="V153" s="1151">
        <f t="shared" si="476"/>
        <v>2037</v>
      </c>
      <c r="W153" s="1151">
        <f t="shared" si="476"/>
        <v>2038</v>
      </c>
      <c r="X153" s="1151">
        <f t="shared" si="476"/>
        <v>2039</v>
      </c>
      <c r="Y153" s="1151">
        <f t="shared" si="476"/>
        <v>2040</v>
      </c>
      <c r="Z153" s="1151">
        <f t="shared" si="476"/>
        <v>2041</v>
      </c>
      <c r="AA153" s="1151">
        <f t="shared" si="476"/>
        <v>2042</v>
      </c>
      <c r="AB153" s="1151">
        <f t="shared" si="476"/>
        <v>2043</v>
      </c>
      <c r="AC153" s="1151">
        <f t="shared" si="476"/>
        <v>2044</v>
      </c>
      <c r="AD153" s="1151">
        <f t="shared" si="476"/>
        <v>2045</v>
      </c>
      <c r="AE153" s="1151">
        <f t="shared" si="476"/>
        <v>2046</v>
      </c>
      <c r="AF153" s="1151">
        <f t="shared" si="476"/>
        <v>2047</v>
      </c>
      <c r="AG153" s="1151">
        <f t="shared" si="476"/>
        <v>2048</v>
      </c>
      <c r="AH153" s="1151">
        <f t="shared" si="476"/>
        <v>2049</v>
      </c>
      <c r="AI153" s="1151">
        <f t="shared" si="476"/>
        <v>2050</v>
      </c>
      <c r="AJ153" s="1151">
        <f t="shared" si="476"/>
        <v>2051</v>
      </c>
      <c r="AK153" s="1151">
        <f t="shared" si="476"/>
        <v>2052</v>
      </c>
      <c r="AL153" s="1151">
        <f t="shared" si="476"/>
        <v>2053</v>
      </c>
      <c r="AM153" s="1152">
        <f t="shared" si="476"/>
        <v>2054</v>
      </c>
    </row>
    <row r="154" spans="2:39" x14ac:dyDescent="0.25">
      <c r="B154" s="1073" t="s">
        <v>994</v>
      </c>
      <c r="C154" s="1137">
        <f t="shared" ref="C154:C158" si="477">SUM(D154:AM154)</f>
        <v>76435285.314698696</v>
      </c>
      <c r="D154" s="1140">
        <f>D128*D$169</f>
        <v>0</v>
      </c>
      <c r="E154" s="1140">
        <f t="shared" ref="E154:AM158" si="478">E128*E$169</f>
        <v>0</v>
      </c>
      <c r="F154" s="1140">
        <f t="shared" si="478"/>
        <v>0</v>
      </c>
      <c r="G154" s="1140">
        <f t="shared" si="478"/>
        <v>0</v>
      </c>
      <c r="H154" s="1140">
        <f t="shared" si="478"/>
        <v>0</v>
      </c>
      <c r="I154" s="1140">
        <f t="shared" si="478"/>
        <v>0</v>
      </c>
      <c r="J154" s="1140">
        <f t="shared" si="478"/>
        <v>3786088.9734835988</v>
      </c>
      <c r="K154" s="1140">
        <f t="shared" si="478"/>
        <v>3675814.5373627176</v>
      </c>
      <c r="L154" s="1140">
        <f t="shared" si="478"/>
        <v>3568751.9780220562</v>
      </c>
      <c r="M154" s="1140">
        <f t="shared" si="478"/>
        <v>3464807.7456524814</v>
      </c>
      <c r="N154" s="1140">
        <f t="shared" si="478"/>
        <v>3363891.0151965842</v>
      </c>
      <c r="O154" s="1140">
        <f t="shared" si="478"/>
        <v>3265913.6069869753</v>
      </c>
      <c r="P154" s="1140">
        <f t="shared" si="478"/>
        <v>3170789.9096960928</v>
      </c>
      <c r="Q154" s="1140">
        <f t="shared" si="478"/>
        <v>3078436.8055301867</v>
      </c>
      <c r="R154" s="1140">
        <f t="shared" si="478"/>
        <v>2988773.5976021225</v>
      </c>
      <c r="S154" s="1140">
        <f t="shared" si="478"/>
        <v>2901721.9394195369</v>
      </c>
      <c r="T154" s="1140">
        <f t="shared" si="478"/>
        <v>2817205.7664267351</v>
      </c>
      <c r="U154" s="1140">
        <f t="shared" si="478"/>
        <v>2735151.2295405194</v>
      </c>
      <c r="V154" s="1140">
        <f t="shared" si="478"/>
        <v>2655486.6306218635</v>
      </c>
      <c r="W154" s="1140">
        <f t="shared" si="478"/>
        <v>2578142.3598270523</v>
      </c>
      <c r="X154" s="1140">
        <f t="shared" si="478"/>
        <v>2503050.8347835457</v>
      </c>
      <c r="Y154" s="1140">
        <f t="shared" si="478"/>
        <v>2430146.4415374231</v>
      </c>
      <c r="Z154" s="1140">
        <f t="shared" si="478"/>
        <v>2359365.4772207993</v>
      </c>
      <c r="AA154" s="1140">
        <f t="shared" si="478"/>
        <v>2290646.0943891257</v>
      </c>
      <c r="AB154" s="1140">
        <f t="shared" si="478"/>
        <v>2223928.2469797335</v>
      </c>
      <c r="AC154" s="1140">
        <f t="shared" si="478"/>
        <v>2159153.6378444014</v>
      </c>
      <c r="AD154" s="1140">
        <f t="shared" si="478"/>
        <v>2096265.6678100985</v>
      </c>
      <c r="AE154" s="1140">
        <f t="shared" si="478"/>
        <v>2035209.3862233968</v>
      </c>
      <c r="AF154" s="1140">
        <f t="shared" si="478"/>
        <v>1975931.4429353368</v>
      </c>
      <c r="AG154" s="1140">
        <f t="shared" si="478"/>
        <v>1918380.0416847931</v>
      </c>
      <c r="AH154" s="1140">
        <f t="shared" si="478"/>
        <v>1862504.8948396044</v>
      </c>
      <c r="AI154" s="1140">
        <f t="shared" si="478"/>
        <v>1808257.1794559269</v>
      </c>
      <c r="AJ154" s="1140">
        <f t="shared" si="478"/>
        <v>1755589.4946174049</v>
      </c>
      <c r="AK154" s="1140">
        <f t="shared" si="478"/>
        <v>1704455.8200168982</v>
      </c>
      <c r="AL154" s="1140">
        <f t="shared" si="478"/>
        <v>1654811.4757445611</v>
      </c>
      <c r="AM154" s="1141">
        <f t="shared" si="478"/>
        <v>1606613.0832471466</v>
      </c>
    </row>
    <row r="155" spans="2:39" x14ac:dyDescent="0.25">
      <c r="B155" s="1073" t="s">
        <v>1017</v>
      </c>
      <c r="C155" s="1137">
        <f t="shared" si="477"/>
        <v>501836.88938204857</v>
      </c>
      <c r="D155" s="1140">
        <f t="shared" ref="D155:S158" si="479">D129*D$169</f>
        <v>0</v>
      </c>
      <c r="E155" s="1140">
        <f t="shared" si="479"/>
        <v>0</v>
      </c>
      <c r="F155" s="1140">
        <f t="shared" si="479"/>
        <v>0</v>
      </c>
      <c r="G155" s="1140">
        <f t="shared" si="479"/>
        <v>0</v>
      </c>
      <c r="H155" s="1140">
        <f t="shared" si="479"/>
        <v>0</v>
      </c>
      <c r="I155" s="1140">
        <f t="shared" si="479"/>
        <v>0</v>
      </c>
      <c r="J155" s="1140">
        <f t="shared" si="479"/>
        <v>24857.617860050133</v>
      </c>
      <c r="K155" s="1140">
        <f t="shared" si="479"/>
        <v>24133.609572864207</v>
      </c>
      <c r="L155" s="1140">
        <f t="shared" si="479"/>
        <v>23430.688905693405</v>
      </c>
      <c r="M155" s="1140">
        <f t="shared" si="479"/>
        <v>22748.241656013015</v>
      </c>
      <c r="N155" s="1140">
        <f t="shared" si="479"/>
        <v>22085.671510692246</v>
      </c>
      <c r="O155" s="1140">
        <f t="shared" si="479"/>
        <v>21442.399524943932</v>
      </c>
      <c r="P155" s="1140">
        <f t="shared" si="479"/>
        <v>20817.863616450421</v>
      </c>
      <c r="Q155" s="1140">
        <f t="shared" si="479"/>
        <v>20211.518074223706</v>
      </c>
      <c r="R155" s="1140">
        <f t="shared" si="479"/>
        <v>19622.833081770586</v>
      </c>
      <c r="S155" s="1140">
        <f t="shared" si="479"/>
        <v>19051.294254146203</v>
      </c>
      <c r="T155" s="1140">
        <f t="shared" si="478"/>
        <v>18496.402188491462</v>
      </c>
      <c r="U155" s="1140">
        <f t="shared" si="478"/>
        <v>17957.672027661611</v>
      </c>
      <c r="V155" s="1140">
        <f t="shared" si="478"/>
        <v>17434.633036564672</v>
      </c>
      <c r="W155" s="1140">
        <f t="shared" si="478"/>
        <v>16926.828190839489</v>
      </c>
      <c r="X155" s="1140">
        <f t="shared" si="478"/>
        <v>16433.813777514068</v>
      </c>
      <c r="Y155" s="1140">
        <f t="shared" si="478"/>
        <v>15955.159007295211</v>
      </c>
      <c r="Z155" s="1140">
        <f t="shared" si="478"/>
        <v>15490.44563815069</v>
      </c>
      <c r="AA155" s="1140">
        <f t="shared" si="478"/>
        <v>15039.26760985504</v>
      </c>
      <c r="AB155" s="1140">
        <f t="shared" si="478"/>
        <v>14601.230689179651</v>
      </c>
      <c r="AC155" s="1140">
        <f t="shared" si="478"/>
        <v>14175.952125417136</v>
      </c>
      <c r="AD155" s="1140">
        <f t="shared" si="478"/>
        <v>13763.060315938967</v>
      </c>
      <c r="AE155" s="1140">
        <f t="shared" si="478"/>
        <v>13362.194481494143</v>
      </c>
      <c r="AF155" s="1140">
        <f t="shared" si="478"/>
        <v>12973.00435096519</v>
      </c>
      <c r="AG155" s="1140">
        <f t="shared" si="478"/>
        <v>12595.149855306008</v>
      </c>
      <c r="AH155" s="1140">
        <f t="shared" si="478"/>
        <v>12228.300830394181</v>
      </c>
      <c r="AI155" s="1140">
        <f t="shared" si="478"/>
        <v>11872.136728538042</v>
      </c>
      <c r="AJ155" s="1140">
        <f t="shared" si="478"/>
        <v>11526.346338386447</v>
      </c>
      <c r="AK155" s="1140">
        <f t="shared" si="478"/>
        <v>11190.627512996554</v>
      </c>
      <c r="AL155" s="1140">
        <f t="shared" si="478"/>
        <v>10864.686905821894</v>
      </c>
      <c r="AM155" s="1141">
        <f t="shared" si="478"/>
        <v>10548.239714390189</v>
      </c>
    </row>
    <row r="156" spans="2:39" x14ac:dyDescent="0.25">
      <c r="B156" s="1073" t="s">
        <v>996</v>
      </c>
      <c r="C156" s="1137">
        <f t="shared" si="477"/>
        <v>193642.81315606527</v>
      </c>
      <c r="D156" s="1140">
        <f t="shared" si="479"/>
        <v>0</v>
      </c>
      <c r="E156" s="1140">
        <f t="shared" si="478"/>
        <v>0</v>
      </c>
      <c r="F156" s="1140">
        <f t="shared" si="478"/>
        <v>0</v>
      </c>
      <c r="G156" s="1140">
        <f t="shared" si="478"/>
        <v>0</v>
      </c>
      <c r="H156" s="1140">
        <f t="shared" si="478"/>
        <v>0</v>
      </c>
      <c r="I156" s="1140">
        <f t="shared" si="478"/>
        <v>0</v>
      </c>
      <c r="J156" s="1140">
        <f t="shared" si="478"/>
        <v>9591.7600970024378</v>
      </c>
      <c r="K156" s="1140">
        <f t="shared" si="478"/>
        <v>9312.3884436916869</v>
      </c>
      <c r="L156" s="1140">
        <f t="shared" si="478"/>
        <v>9041.1538288268821</v>
      </c>
      <c r="M156" s="1140">
        <f t="shared" si="478"/>
        <v>8777.8192512882342</v>
      </c>
      <c r="N156" s="1140">
        <f t="shared" si="478"/>
        <v>8522.1546129011986</v>
      </c>
      <c r="O156" s="1140">
        <f t="shared" si="478"/>
        <v>8273.9365173798051</v>
      </c>
      <c r="P156" s="1140">
        <f t="shared" si="478"/>
        <v>8032.9480751260253</v>
      </c>
      <c r="Q156" s="1140">
        <f t="shared" si="478"/>
        <v>7798.9787137145859</v>
      </c>
      <c r="R156" s="1140">
        <f t="shared" si="478"/>
        <v>7571.8239938976558</v>
      </c>
      <c r="S156" s="1140">
        <f t="shared" si="478"/>
        <v>7351.285430968599</v>
      </c>
      <c r="T156" s="1140">
        <f t="shared" si="478"/>
        <v>7137.1703213287374</v>
      </c>
      <c r="U156" s="1140">
        <f t="shared" si="478"/>
        <v>6929.2915741055695</v>
      </c>
      <c r="V156" s="1140">
        <f t="shared" si="478"/>
        <v>6727.4675476753109</v>
      </c>
      <c r="W156" s="1140">
        <f t="shared" si="478"/>
        <v>6531.521890946904</v>
      </c>
      <c r="X156" s="1140">
        <f t="shared" si="478"/>
        <v>6341.2833892688395</v>
      </c>
      <c r="Y156" s="1140">
        <f t="shared" si="478"/>
        <v>6156.5858148241159</v>
      </c>
      <c r="Z156" s="1140">
        <f t="shared" si="478"/>
        <v>5977.2677813826367</v>
      </c>
      <c r="AA156" s="1140">
        <f t="shared" si="478"/>
        <v>5803.1726032841134</v>
      </c>
      <c r="AB156" s="1140">
        <f t="shared" si="478"/>
        <v>5634.1481585282654</v>
      </c>
      <c r="AC156" s="1140">
        <f t="shared" si="478"/>
        <v>5470.0467558526843</v>
      </c>
      <c r="AD156" s="1140">
        <f t="shared" si="478"/>
        <v>5310.7250056822186</v>
      </c>
      <c r="AE156" s="1140">
        <f t="shared" si="478"/>
        <v>5156.0436948371052</v>
      </c>
      <c r="AF156" s="1140">
        <f t="shared" si="478"/>
        <v>5005.8676648903938</v>
      </c>
      <c r="AG156" s="1140">
        <f t="shared" si="478"/>
        <v>4860.0656940683439</v>
      </c>
      <c r="AH156" s="1140">
        <f t="shared" si="478"/>
        <v>4718.5103825906244</v>
      </c>
      <c r="AI156" s="1140">
        <f t="shared" si="478"/>
        <v>4581.0780413501216</v>
      </c>
      <c r="AJ156" s="1140">
        <f t="shared" si="478"/>
        <v>4447.6485838350691</v>
      </c>
      <c r="AK156" s="1140">
        <f t="shared" si="478"/>
        <v>4318.1054211990968</v>
      </c>
      <c r="AL156" s="1140">
        <f t="shared" si="478"/>
        <v>4192.3353603874721</v>
      </c>
      <c r="AM156" s="1141">
        <f t="shared" si="478"/>
        <v>4070.2285052305551</v>
      </c>
    </row>
    <row r="157" spans="2:39" x14ac:dyDescent="0.25">
      <c r="B157" s="1073" t="s">
        <v>1018</v>
      </c>
      <c r="C157" s="1137">
        <f t="shared" si="477"/>
        <v>2849359.657599919</v>
      </c>
      <c r="D157" s="1140">
        <f t="shared" si="479"/>
        <v>0</v>
      </c>
      <c r="E157" s="1140">
        <f t="shared" si="478"/>
        <v>0</v>
      </c>
      <c r="F157" s="1140">
        <f t="shared" si="478"/>
        <v>0</v>
      </c>
      <c r="G157" s="1140">
        <f t="shared" si="478"/>
        <v>0</v>
      </c>
      <c r="H157" s="1140">
        <f t="shared" si="478"/>
        <v>0</v>
      </c>
      <c r="I157" s="1140">
        <f t="shared" si="478"/>
        <v>0</v>
      </c>
      <c r="J157" s="1140">
        <f t="shared" si="478"/>
        <v>141138.07695898679</v>
      </c>
      <c r="K157" s="1140">
        <f t="shared" si="478"/>
        <v>137027.25918348233</v>
      </c>
      <c r="L157" s="1140">
        <f t="shared" si="478"/>
        <v>133036.17396454595</v>
      </c>
      <c r="M157" s="1140">
        <f t="shared" si="478"/>
        <v>129161.3339461611</v>
      </c>
      <c r="N157" s="1140">
        <f t="shared" si="478"/>
        <v>125399.35334578749</v>
      </c>
      <c r="O157" s="1140">
        <f t="shared" si="478"/>
        <v>121746.94499591021</v>
      </c>
      <c r="P157" s="1140">
        <f t="shared" si="478"/>
        <v>118200.91747175748</v>
      </c>
      <c r="Q157" s="1140">
        <f t="shared" si="478"/>
        <v>114758.17230267715</v>
      </c>
      <c r="R157" s="1140">
        <f t="shared" si="478"/>
        <v>111415.70126473508</v>
      </c>
      <c r="S157" s="1140">
        <f t="shared" si="478"/>
        <v>108170.58375217</v>
      </c>
      <c r="T157" s="1140">
        <f t="shared" si="478"/>
        <v>105019.98422540777</v>
      </c>
      <c r="U157" s="1140">
        <f t="shared" si="478"/>
        <v>101961.1497334056</v>
      </c>
      <c r="V157" s="1140">
        <f t="shared" si="478"/>
        <v>98991.407508160788</v>
      </c>
      <c r="W157" s="1140">
        <f t="shared" si="478"/>
        <v>96108.16262928232</v>
      </c>
      <c r="X157" s="1140">
        <f t="shared" si="478"/>
        <v>93308.895756584781</v>
      </c>
      <c r="Y157" s="1140">
        <f t="shared" si="478"/>
        <v>90591.160928723082</v>
      </c>
      <c r="Z157" s="1140">
        <f t="shared" si="478"/>
        <v>87952.583425944744</v>
      </c>
      <c r="AA157" s="1140">
        <f t="shared" si="478"/>
        <v>85390.857695091981</v>
      </c>
      <c r="AB157" s="1140">
        <f t="shared" si="478"/>
        <v>82903.74533504076</v>
      </c>
      <c r="AC157" s="1140">
        <f t="shared" si="478"/>
        <v>80489.073140816268</v>
      </c>
      <c r="AD157" s="1140">
        <f t="shared" si="478"/>
        <v>78144.731204676005</v>
      </c>
      <c r="AE157" s="1140">
        <f t="shared" si="478"/>
        <v>75868.671072500976</v>
      </c>
      <c r="AF157" s="1140">
        <f t="shared" si="478"/>
        <v>73658.903953884437</v>
      </c>
      <c r="AG157" s="1140">
        <f t="shared" si="478"/>
        <v>71513.498984353835</v>
      </c>
      <c r="AH157" s="1140">
        <f t="shared" si="478"/>
        <v>69430.581538207582</v>
      </c>
      <c r="AI157" s="1140">
        <f t="shared" si="478"/>
        <v>67408.331590492817</v>
      </c>
      <c r="AJ157" s="1140">
        <f t="shared" si="478"/>
        <v>65444.982126692055</v>
      </c>
      <c r="AK157" s="1140">
        <f t="shared" si="478"/>
        <v>63538.817598730158</v>
      </c>
      <c r="AL157" s="1140">
        <f t="shared" si="478"/>
        <v>61688.172425951598</v>
      </c>
      <c r="AM157" s="1141">
        <f t="shared" si="478"/>
        <v>59891.429539758836</v>
      </c>
    </row>
    <row r="158" spans="2:39" x14ac:dyDescent="0.25">
      <c r="B158" s="667" t="s">
        <v>575</v>
      </c>
      <c r="C158" s="1137">
        <f t="shared" si="477"/>
        <v>6688395.6736191986</v>
      </c>
      <c r="D158" s="1140">
        <f t="shared" si="479"/>
        <v>0</v>
      </c>
      <c r="E158" s="1140">
        <f t="shared" si="478"/>
        <v>0</v>
      </c>
      <c r="F158" s="1140">
        <f t="shared" si="478"/>
        <v>0</v>
      </c>
      <c r="G158" s="1140">
        <f t="shared" si="478"/>
        <v>0</v>
      </c>
      <c r="H158" s="1140">
        <f t="shared" si="478"/>
        <v>0</v>
      </c>
      <c r="I158" s="1140">
        <f t="shared" si="478"/>
        <v>0</v>
      </c>
      <c r="J158" s="1140">
        <f t="shared" si="478"/>
        <v>0</v>
      </c>
      <c r="K158" s="1140">
        <f t="shared" si="478"/>
        <v>0</v>
      </c>
      <c r="L158" s="1140">
        <f t="shared" si="478"/>
        <v>0</v>
      </c>
      <c r="M158" s="1140">
        <f t="shared" si="478"/>
        <v>0</v>
      </c>
      <c r="N158" s="1140">
        <f t="shared" si="478"/>
        <v>0</v>
      </c>
      <c r="O158" s="1140">
        <f t="shared" si="478"/>
        <v>0</v>
      </c>
      <c r="P158" s="1140">
        <f t="shared" si="478"/>
        <v>0</v>
      </c>
      <c r="Q158" s="1140">
        <f t="shared" si="478"/>
        <v>0</v>
      </c>
      <c r="R158" s="1140">
        <f t="shared" si="478"/>
        <v>0</v>
      </c>
      <c r="S158" s="1140">
        <f t="shared" si="478"/>
        <v>0</v>
      </c>
      <c r="T158" s="1140">
        <f t="shared" si="478"/>
        <v>0</v>
      </c>
      <c r="U158" s="1140">
        <f t="shared" si="478"/>
        <v>0</v>
      </c>
      <c r="V158" s="1140">
        <f t="shared" si="478"/>
        <v>0</v>
      </c>
      <c r="W158" s="1140">
        <f t="shared" si="478"/>
        <v>0</v>
      </c>
      <c r="X158" s="1140">
        <f t="shared" si="478"/>
        <v>0</v>
      </c>
      <c r="Y158" s="1140">
        <f t="shared" si="478"/>
        <v>0</v>
      </c>
      <c r="Z158" s="1140">
        <f t="shared" si="478"/>
        <v>0</v>
      </c>
      <c r="AA158" s="1140">
        <f t="shared" si="478"/>
        <v>0</v>
      </c>
      <c r="AB158" s="1140">
        <f t="shared" si="478"/>
        <v>0</v>
      </c>
      <c r="AC158" s="1140">
        <f t="shared" si="478"/>
        <v>0</v>
      </c>
      <c r="AD158" s="1140">
        <f t="shared" si="478"/>
        <v>0</v>
      </c>
      <c r="AE158" s="1140">
        <f t="shared" si="478"/>
        <v>0</v>
      </c>
      <c r="AF158" s="1140">
        <f t="shared" si="478"/>
        <v>0</v>
      </c>
      <c r="AG158" s="1140">
        <f t="shared" si="478"/>
        <v>0</v>
      </c>
      <c r="AH158" s="1140">
        <f t="shared" si="478"/>
        <v>0</v>
      </c>
      <c r="AI158" s="1140">
        <f t="shared" si="478"/>
        <v>0</v>
      </c>
      <c r="AJ158" s="1140">
        <f t="shared" si="478"/>
        <v>0</v>
      </c>
      <c r="AK158" s="1140">
        <f t="shared" si="478"/>
        <v>0</v>
      </c>
      <c r="AL158" s="1140">
        <f t="shared" si="478"/>
        <v>0</v>
      </c>
      <c r="AM158" s="1141">
        <f t="shared" si="478"/>
        <v>6688395.6736191986</v>
      </c>
    </row>
    <row r="159" spans="2:39" x14ac:dyDescent="0.25">
      <c r="B159" s="668" t="s">
        <v>568</v>
      </c>
      <c r="C159" s="1144">
        <f>SUM(D159:AM159)</f>
        <v>86668520.348455951</v>
      </c>
      <c r="D159" s="1144">
        <f t="shared" ref="D159:AM159" si="480">SUM(D154:D158)</f>
        <v>0</v>
      </c>
      <c r="E159" s="1144">
        <f t="shared" si="480"/>
        <v>0</v>
      </c>
      <c r="F159" s="1144">
        <f t="shared" si="480"/>
        <v>0</v>
      </c>
      <c r="G159" s="1144">
        <f t="shared" si="480"/>
        <v>0</v>
      </c>
      <c r="H159" s="1144">
        <f t="shared" si="480"/>
        <v>0</v>
      </c>
      <c r="I159" s="1144">
        <f t="shared" si="480"/>
        <v>0</v>
      </c>
      <c r="J159" s="1144">
        <f t="shared" si="480"/>
        <v>3961676.4283996383</v>
      </c>
      <c r="K159" s="1144">
        <f t="shared" si="480"/>
        <v>3846287.7945627556</v>
      </c>
      <c r="L159" s="1144">
        <f t="shared" si="480"/>
        <v>3734259.9947211226</v>
      </c>
      <c r="M159" s="1144">
        <f t="shared" si="480"/>
        <v>3625495.1405059434</v>
      </c>
      <c r="N159" s="1144">
        <f t="shared" si="480"/>
        <v>3519898.1946659652</v>
      </c>
      <c r="O159" s="1144">
        <f t="shared" si="480"/>
        <v>3417376.8880252093</v>
      </c>
      <c r="P159" s="1144">
        <f t="shared" si="480"/>
        <v>3317841.6388594266</v>
      </c>
      <c r="Q159" s="1144">
        <f t="shared" si="480"/>
        <v>3221205.4746208023</v>
      </c>
      <c r="R159" s="1144">
        <f t="shared" si="480"/>
        <v>3127383.9559425255</v>
      </c>
      <c r="S159" s="1144">
        <f t="shared" si="480"/>
        <v>3036295.1028568218</v>
      </c>
      <c r="T159" s="1144">
        <f t="shared" si="480"/>
        <v>2947859.3231619629</v>
      </c>
      <c r="U159" s="1144">
        <f t="shared" si="480"/>
        <v>2861999.3428756921</v>
      </c>
      <c r="V159" s="1144">
        <f t="shared" si="480"/>
        <v>2778640.1387142641</v>
      </c>
      <c r="W159" s="1144">
        <f t="shared" si="480"/>
        <v>2697708.872538121</v>
      </c>
      <c r="X159" s="1144">
        <f t="shared" si="480"/>
        <v>2619134.8277069135</v>
      </c>
      <c r="Y159" s="1144">
        <f t="shared" si="480"/>
        <v>2542849.3472882654</v>
      </c>
      <c r="Z159" s="1144">
        <f t="shared" si="480"/>
        <v>2468785.7740662773</v>
      </c>
      <c r="AA159" s="1144">
        <f t="shared" si="480"/>
        <v>2396879.3922973569</v>
      </c>
      <c r="AB159" s="1144">
        <f t="shared" si="480"/>
        <v>2327067.3711624821</v>
      </c>
      <c r="AC159" s="1144">
        <f t="shared" si="480"/>
        <v>2259288.7098664874</v>
      </c>
      <c r="AD159" s="1144">
        <f t="shared" si="480"/>
        <v>2193484.1843363955</v>
      </c>
      <c r="AE159" s="1144">
        <f t="shared" si="480"/>
        <v>2129596.2954722289</v>
      </c>
      <c r="AF159" s="1144">
        <f t="shared" si="480"/>
        <v>2067569.2189050769</v>
      </c>
      <c r="AG159" s="1144">
        <f t="shared" si="480"/>
        <v>2007348.7562185212</v>
      </c>
      <c r="AH159" s="1144">
        <f t="shared" si="480"/>
        <v>1948882.2875907968</v>
      </c>
      <c r="AI159" s="1144">
        <f t="shared" si="480"/>
        <v>1892118.7258163078</v>
      </c>
      <c r="AJ159" s="1144">
        <f t="shared" si="480"/>
        <v>1837008.4716663184</v>
      </c>
      <c r="AK159" s="1145">
        <f t="shared" si="480"/>
        <v>1783503.3705498239</v>
      </c>
      <c r="AL159" s="1145">
        <f t="shared" si="480"/>
        <v>1731556.670436722</v>
      </c>
      <c r="AM159" s="1145">
        <f t="shared" si="480"/>
        <v>8369518.654625725</v>
      </c>
    </row>
    <row r="160" spans="2:39" x14ac:dyDescent="0.25">
      <c r="B160" s="667" t="s">
        <v>569</v>
      </c>
      <c r="C160" s="1137">
        <f t="shared" ref="C160:C161" si="481">SUM(D160:AM160)</f>
        <v>42756803.404439777</v>
      </c>
      <c r="D160" s="1140">
        <f t="shared" ref="D160:S161" si="482">D134*D$169</f>
        <v>0</v>
      </c>
      <c r="E160" s="1140">
        <f t="shared" si="482"/>
        <v>4578983.5149860801</v>
      </c>
      <c r="F160" s="1140">
        <f t="shared" si="482"/>
        <v>0</v>
      </c>
      <c r="G160" s="1140">
        <f t="shared" si="482"/>
        <v>19631504.612181105</v>
      </c>
      <c r="H160" s="1140">
        <f t="shared" si="482"/>
        <v>18300670.33065192</v>
      </c>
      <c r="I160" s="1140">
        <f t="shared" si="482"/>
        <v>245644.94662067611</v>
      </c>
      <c r="J160" s="1140">
        <f t="shared" si="482"/>
        <v>0</v>
      </c>
      <c r="K160" s="1140">
        <f t="shared" si="482"/>
        <v>0</v>
      </c>
      <c r="L160" s="1140">
        <f t="shared" si="482"/>
        <v>0</v>
      </c>
      <c r="M160" s="1140">
        <f t="shared" si="482"/>
        <v>0</v>
      </c>
      <c r="N160" s="1140">
        <f t="shared" si="482"/>
        <v>0</v>
      </c>
      <c r="O160" s="1140">
        <f t="shared" si="482"/>
        <v>0</v>
      </c>
      <c r="P160" s="1140">
        <f t="shared" si="482"/>
        <v>0</v>
      </c>
      <c r="Q160" s="1140">
        <f t="shared" si="482"/>
        <v>0</v>
      </c>
      <c r="R160" s="1140">
        <f t="shared" si="482"/>
        <v>0</v>
      </c>
      <c r="S160" s="1140">
        <f t="shared" si="482"/>
        <v>0</v>
      </c>
      <c r="T160" s="1140">
        <f t="shared" ref="E160:AM161" si="483">T134*T$169</f>
        <v>0</v>
      </c>
      <c r="U160" s="1140">
        <f t="shared" si="483"/>
        <v>0</v>
      </c>
      <c r="V160" s="1140">
        <f t="shared" si="483"/>
        <v>0</v>
      </c>
      <c r="W160" s="1140">
        <f t="shared" si="483"/>
        <v>0</v>
      </c>
      <c r="X160" s="1140">
        <f t="shared" si="483"/>
        <v>0</v>
      </c>
      <c r="Y160" s="1140">
        <f t="shared" si="483"/>
        <v>0</v>
      </c>
      <c r="Z160" s="1140">
        <f t="shared" si="483"/>
        <v>0</v>
      </c>
      <c r="AA160" s="1140">
        <f t="shared" si="483"/>
        <v>0</v>
      </c>
      <c r="AB160" s="1140">
        <f t="shared" si="483"/>
        <v>0</v>
      </c>
      <c r="AC160" s="1140">
        <f t="shared" si="483"/>
        <v>0</v>
      </c>
      <c r="AD160" s="1140">
        <f t="shared" si="483"/>
        <v>0</v>
      </c>
      <c r="AE160" s="1140">
        <f t="shared" si="483"/>
        <v>0</v>
      </c>
      <c r="AF160" s="1140">
        <f t="shared" si="483"/>
        <v>0</v>
      </c>
      <c r="AG160" s="1140">
        <f t="shared" si="483"/>
        <v>0</v>
      </c>
      <c r="AH160" s="1140">
        <f t="shared" si="483"/>
        <v>0</v>
      </c>
      <c r="AI160" s="1140">
        <f t="shared" si="483"/>
        <v>0</v>
      </c>
      <c r="AJ160" s="1140">
        <f t="shared" si="483"/>
        <v>0</v>
      </c>
      <c r="AK160" s="1140">
        <f t="shared" si="483"/>
        <v>0</v>
      </c>
      <c r="AL160" s="1140">
        <f t="shared" si="483"/>
        <v>0</v>
      </c>
      <c r="AM160" s="1140">
        <f t="shared" si="483"/>
        <v>0</v>
      </c>
    </row>
    <row r="161" spans="2:39" x14ac:dyDescent="0.25">
      <c r="B161" s="667" t="s">
        <v>583</v>
      </c>
      <c r="C161" s="1137">
        <f t="shared" si="481"/>
        <v>0</v>
      </c>
      <c r="D161" s="1140">
        <f t="shared" si="482"/>
        <v>0</v>
      </c>
      <c r="E161" s="1140">
        <f t="shared" si="483"/>
        <v>0</v>
      </c>
      <c r="F161" s="1140">
        <f t="shared" si="483"/>
        <v>0</v>
      </c>
      <c r="G161" s="1140">
        <f t="shared" si="483"/>
        <v>0</v>
      </c>
      <c r="H161" s="1140">
        <f t="shared" si="483"/>
        <v>0</v>
      </c>
      <c r="I161" s="1140">
        <f t="shared" si="483"/>
        <v>0</v>
      </c>
      <c r="J161" s="1140">
        <f t="shared" si="483"/>
        <v>0</v>
      </c>
      <c r="K161" s="1140">
        <f t="shared" si="483"/>
        <v>0</v>
      </c>
      <c r="L161" s="1140">
        <f t="shared" si="483"/>
        <v>0</v>
      </c>
      <c r="M161" s="1140">
        <f t="shared" si="483"/>
        <v>0</v>
      </c>
      <c r="N161" s="1140">
        <f t="shared" si="483"/>
        <v>0</v>
      </c>
      <c r="O161" s="1140">
        <f t="shared" si="483"/>
        <v>0</v>
      </c>
      <c r="P161" s="1140">
        <f t="shared" si="483"/>
        <v>0</v>
      </c>
      <c r="Q161" s="1140">
        <f t="shared" si="483"/>
        <v>0</v>
      </c>
      <c r="R161" s="1140">
        <f t="shared" si="483"/>
        <v>0</v>
      </c>
      <c r="S161" s="1140">
        <f t="shared" si="483"/>
        <v>0</v>
      </c>
      <c r="T161" s="1140">
        <f t="shared" si="483"/>
        <v>0</v>
      </c>
      <c r="U161" s="1140">
        <f t="shared" si="483"/>
        <v>0</v>
      </c>
      <c r="V161" s="1140">
        <f t="shared" si="483"/>
        <v>0</v>
      </c>
      <c r="W161" s="1140">
        <f t="shared" si="483"/>
        <v>0</v>
      </c>
      <c r="X161" s="1140">
        <f t="shared" si="483"/>
        <v>0</v>
      </c>
      <c r="Y161" s="1140">
        <f t="shared" si="483"/>
        <v>0</v>
      </c>
      <c r="Z161" s="1140">
        <f t="shared" si="483"/>
        <v>0</v>
      </c>
      <c r="AA161" s="1140">
        <f t="shared" si="483"/>
        <v>0</v>
      </c>
      <c r="AB161" s="1140">
        <f t="shared" si="483"/>
        <v>0</v>
      </c>
      <c r="AC161" s="1140">
        <f t="shared" si="483"/>
        <v>0</v>
      </c>
      <c r="AD161" s="1140">
        <f t="shared" si="483"/>
        <v>0</v>
      </c>
      <c r="AE161" s="1140">
        <f t="shared" si="483"/>
        <v>0</v>
      </c>
      <c r="AF161" s="1140">
        <f t="shared" si="483"/>
        <v>0</v>
      </c>
      <c r="AG161" s="1140">
        <f t="shared" si="483"/>
        <v>0</v>
      </c>
      <c r="AH161" s="1140">
        <f t="shared" si="483"/>
        <v>0</v>
      </c>
      <c r="AI161" s="1140">
        <f t="shared" si="483"/>
        <v>0</v>
      </c>
      <c r="AJ161" s="1140">
        <f t="shared" si="483"/>
        <v>0</v>
      </c>
      <c r="AK161" s="1140">
        <f t="shared" si="483"/>
        <v>0</v>
      </c>
      <c r="AL161" s="1140">
        <f t="shared" si="483"/>
        <v>0</v>
      </c>
      <c r="AM161" s="1140">
        <f t="shared" si="483"/>
        <v>0</v>
      </c>
    </row>
    <row r="162" spans="2:39" x14ac:dyDescent="0.25">
      <c r="B162" s="668" t="s">
        <v>570</v>
      </c>
      <c r="C162" s="1144">
        <f>SUM(D162:AM162)</f>
        <v>42756803.404439777</v>
      </c>
      <c r="D162" s="1144">
        <f t="shared" ref="D162:F162" si="484">SUM(D160:D161)</f>
        <v>0</v>
      </c>
      <c r="E162" s="1144">
        <f t="shared" si="484"/>
        <v>4578983.5149860801</v>
      </c>
      <c r="F162" s="1144">
        <f t="shared" si="484"/>
        <v>0</v>
      </c>
      <c r="G162" s="1144">
        <f>SUM(G160:G161)</f>
        <v>19631504.612181105</v>
      </c>
      <c r="H162" s="1144">
        <f t="shared" ref="H162:AM162" si="485">SUM(H160:H161)</f>
        <v>18300670.33065192</v>
      </c>
      <c r="I162" s="1144">
        <f t="shared" si="485"/>
        <v>245644.94662067611</v>
      </c>
      <c r="J162" s="1144">
        <f t="shared" si="485"/>
        <v>0</v>
      </c>
      <c r="K162" s="1144">
        <f t="shared" si="485"/>
        <v>0</v>
      </c>
      <c r="L162" s="1144">
        <f t="shared" si="485"/>
        <v>0</v>
      </c>
      <c r="M162" s="1144">
        <f t="shared" si="485"/>
        <v>0</v>
      </c>
      <c r="N162" s="1144">
        <f t="shared" si="485"/>
        <v>0</v>
      </c>
      <c r="O162" s="1144">
        <f t="shared" si="485"/>
        <v>0</v>
      </c>
      <c r="P162" s="1144">
        <f t="shared" si="485"/>
        <v>0</v>
      </c>
      <c r="Q162" s="1144">
        <f t="shared" si="485"/>
        <v>0</v>
      </c>
      <c r="R162" s="1144">
        <f t="shared" si="485"/>
        <v>0</v>
      </c>
      <c r="S162" s="1144">
        <f t="shared" si="485"/>
        <v>0</v>
      </c>
      <c r="T162" s="1144">
        <f t="shared" si="485"/>
        <v>0</v>
      </c>
      <c r="U162" s="1144">
        <f t="shared" si="485"/>
        <v>0</v>
      </c>
      <c r="V162" s="1144">
        <f t="shared" si="485"/>
        <v>0</v>
      </c>
      <c r="W162" s="1144">
        <f t="shared" si="485"/>
        <v>0</v>
      </c>
      <c r="X162" s="1144">
        <f t="shared" si="485"/>
        <v>0</v>
      </c>
      <c r="Y162" s="1144">
        <f t="shared" si="485"/>
        <v>0</v>
      </c>
      <c r="Z162" s="1144">
        <f t="shared" si="485"/>
        <v>0</v>
      </c>
      <c r="AA162" s="1144">
        <f t="shared" si="485"/>
        <v>0</v>
      </c>
      <c r="AB162" s="1144">
        <f t="shared" si="485"/>
        <v>0</v>
      </c>
      <c r="AC162" s="1144">
        <f t="shared" si="485"/>
        <v>0</v>
      </c>
      <c r="AD162" s="1144">
        <f t="shared" si="485"/>
        <v>0</v>
      </c>
      <c r="AE162" s="1144">
        <f t="shared" si="485"/>
        <v>0</v>
      </c>
      <c r="AF162" s="1144">
        <f t="shared" si="485"/>
        <v>0</v>
      </c>
      <c r="AG162" s="1144">
        <f t="shared" si="485"/>
        <v>0</v>
      </c>
      <c r="AH162" s="1144">
        <f t="shared" si="485"/>
        <v>0</v>
      </c>
      <c r="AI162" s="1144">
        <f t="shared" si="485"/>
        <v>0</v>
      </c>
      <c r="AJ162" s="1144">
        <f t="shared" si="485"/>
        <v>0</v>
      </c>
      <c r="AK162" s="1145">
        <f t="shared" si="485"/>
        <v>0</v>
      </c>
      <c r="AL162" s="1145">
        <f t="shared" si="485"/>
        <v>0</v>
      </c>
      <c r="AM162" s="1145">
        <f t="shared" si="485"/>
        <v>0</v>
      </c>
    </row>
    <row r="163" spans="2:39" x14ac:dyDescent="0.25">
      <c r="B163" s="726" t="s">
        <v>612</v>
      </c>
      <c r="C163" s="1146">
        <f>SUM(D163:AM163)</f>
        <v>43911716.944016173</v>
      </c>
      <c r="D163" s="1146">
        <f>D159-D162</f>
        <v>0</v>
      </c>
      <c r="E163" s="1146">
        <f t="shared" ref="E163:AM163" si="486">E159-E162</f>
        <v>-4578983.5149860801</v>
      </c>
      <c r="F163" s="1146">
        <f t="shared" si="486"/>
        <v>0</v>
      </c>
      <c r="G163" s="1146">
        <f t="shared" si="486"/>
        <v>-19631504.612181105</v>
      </c>
      <c r="H163" s="1146">
        <f t="shared" si="486"/>
        <v>-18300670.33065192</v>
      </c>
      <c r="I163" s="1146">
        <f t="shared" si="486"/>
        <v>-245644.94662067611</v>
      </c>
      <c r="J163" s="1146">
        <f t="shared" si="486"/>
        <v>3961676.4283996383</v>
      </c>
      <c r="K163" s="1146">
        <f t="shared" si="486"/>
        <v>3846287.7945627556</v>
      </c>
      <c r="L163" s="1146">
        <f t="shared" si="486"/>
        <v>3734259.9947211226</v>
      </c>
      <c r="M163" s="1146">
        <f t="shared" si="486"/>
        <v>3625495.1405059434</v>
      </c>
      <c r="N163" s="1146">
        <f t="shared" si="486"/>
        <v>3519898.1946659652</v>
      </c>
      <c r="O163" s="1146">
        <f t="shared" si="486"/>
        <v>3417376.8880252093</v>
      </c>
      <c r="P163" s="1146">
        <f t="shared" si="486"/>
        <v>3317841.6388594266</v>
      </c>
      <c r="Q163" s="1146">
        <f t="shared" si="486"/>
        <v>3221205.4746208023</v>
      </c>
      <c r="R163" s="1146">
        <f t="shared" si="486"/>
        <v>3127383.9559425255</v>
      </c>
      <c r="S163" s="1146">
        <f t="shared" si="486"/>
        <v>3036295.1028568218</v>
      </c>
      <c r="T163" s="1146">
        <f t="shared" si="486"/>
        <v>2947859.3231619629</v>
      </c>
      <c r="U163" s="1146">
        <f t="shared" si="486"/>
        <v>2861999.3428756921</v>
      </c>
      <c r="V163" s="1146">
        <f t="shared" si="486"/>
        <v>2778640.1387142641</v>
      </c>
      <c r="W163" s="1146">
        <f t="shared" si="486"/>
        <v>2697708.872538121</v>
      </c>
      <c r="X163" s="1146">
        <f t="shared" si="486"/>
        <v>2619134.8277069135</v>
      </c>
      <c r="Y163" s="1146">
        <f t="shared" si="486"/>
        <v>2542849.3472882654</v>
      </c>
      <c r="Z163" s="1146">
        <f t="shared" si="486"/>
        <v>2468785.7740662773</v>
      </c>
      <c r="AA163" s="1146">
        <f t="shared" si="486"/>
        <v>2396879.3922973569</v>
      </c>
      <c r="AB163" s="1146">
        <f t="shared" si="486"/>
        <v>2327067.3711624821</v>
      </c>
      <c r="AC163" s="1146">
        <f t="shared" si="486"/>
        <v>2259288.7098664874</v>
      </c>
      <c r="AD163" s="1146">
        <f t="shared" si="486"/>
        <v>2193484.1843363955</v>
      </c>
      <c r="AE163" s="1146">
        <f t="shared" si="486"/>
        <v>2129596.2954722289</v>
      </c>
      <c r="AF163" s="1146">
        <f t="shared" si="486"/>
        <v>2067569.2189050769</v>
      </c>
      <c r="AG163" s="1146">
        <f t="shared" si="486"/>
        <v>2007348.7562185212</v>
      </c>
      <c r="AH163" s="1146">
        <f t="shared" si="486"/>
        <v>1948882.2875907968</v>
      </c>
      <c r="AI163" s="1146">
        <f t="shared" si="486"/>
        <v>1892118.7258163078</v>
      </c>
      <c r="AJ163" s="1146">
        <f t="shared" si="486"/>
        <v>1837008.4716663184</v>
      </c>
      <c r="AK163" s="1147">
        <f t="shared" si="486"/>
        <v>1783503.3705498239</v>
      </c>
      <c r="AL163" s="1147">
        <f t="shared" si="486"/>
        <v>1731556.670436722</v>
      </c>
      <c r="AM163" s="1147">
        <f t="shared" si="486"/>
        <v>8369518.654625725</v>
      </c>
    </row>
    <row r="164" spans="2:39" x14ac:dyDescent="0.25">
      <c r="B164" s="727" t="s">
        <v>613</v>
      </c>
      <c r="C164" s="1148"/>
      <c r="D164" s="1148">
        <f>D163</f>
        <v>0</v>
      </c>
      <c r="E164" s="1148">
        <f>D164+E163</f>
        <v>-4578983.5149860801</v>
      </c>
      <c r="F164" s="1148">
        <f t="shared" ref="F164" si="487">E164+F163</f>
        <v>-4578983.5149860801</v>
      </c>
      <c r="G164" s="1148">
        <f t="shared" ref="G164" si="488">F164+G163</f>
        <v>-24210488.127167184</v>
      </c>
      <c r="H164" s="1148">
        <f t="shared" ref="H164" si="489">G164+H163</f>
        <v>-42511158.457819104</v>
      </c>
      <c r="I164" s="1148">
        <f t="shared" ref="I164" si="490">H164+I163</f>
        <v>-42756803.404439777</v>
      </c>
      <c r="J164" s="1148">
        <f t="shared" ref="J164" si="491">I164+J163</f>
        <v>-38795126.97604014</v>
      </c>
      <c r="K164" s="1148">
        <f t="shared" ref="K164" si="492">J164+K163</f>
        <v>-34948839.181477383</v>
      </c>
      <c r="L164" s="1148">
        <f t="shared" ref="L164" si="493">K164+L163</f>
        <v>-31214579.186756261</v>
      </c>
      <c r="M164" s="1148">
        <f t="shared" ref="M164" si="494">L164+M163</f>
        <v>-27589084.046250317</v>
      </c>
      <c r="N164" s="1148">
        <f t="shared" ref="N164" si="495">M164+N163</f>
        <v>-24069185.851584353</v>
      </c>
      <c r="O164" s="1148">
        <f t="shared" ref="O164" si="496">N164+O163</f>
        <v>-20651808.963559143</v>
      </c>
      <c r="P164" s="1148">
        <f t="shared" ref="P164" si="497">O164+P163</f>
        <v>-17333967.324699715</v>
      </c>
      <c r="Q164" s="1148">
        <f t="shared" ref="Q164" si="498">P164+Q163</f>
        <v>-14112761.850078912</v>
      </c>
      <c r="R164" s="1148">
        <f t="shared" ref="R164" si="499">Q164+R163</f>
        <v>-10985377.894136388</v>
      </c>
      <c r="S164" s="1148">
        <f t="shared" ref="S164" si="500">R164+S163</f>
        <v>-7949082.7912795655</v>
      </c>
      <c r="T164" s="1148">
        <f t="shared" ref="T164" si="501">S164+T163</f>
        <v>-5001223.4681176022</v>
      </c>
      <c r="U164" s="1148">
        <f t="shared" ref="U164" si="502">T164+U163</f>
        <v>-2139224.1252419101</v>
      </c>
      <c r="V164" s="1148">
        <f t="shared" ref="V164" si="503">U164+V163</f>
        <v>639416.01347235404</v>
      </c>
      <c r="W164" s="1148">
        <f t="shared" ref="W164" si="504">V164+W163</f>
        <v>3337124.886010475</v>
      </c>
      <c r="X164" s="1148">
        <f t="shared" ref="X164" si="505">W164+X163</f>
        <v>5956259.713717388</v>
      </c>
      <c r="Y164" s="1148">
        <f t="shared" ref="Y164" si="506">X164+Y163</f>
        <v>8499109.0610056538</v>
      </c>
      <c r="Z164" s="1148">
        <f>Y164+Z163</f>
        <v>10967894.835071931</v>
      </c>
      <c r="AA164" s="1148">
        <f>Z164+AA163</f>
        <v>13364774.227369288</v>
      </c>
      <c r="AB164" s="1148">
        <f t="shared" ref="AB164" si="507">AA164+AB163</f>
        <v>15691841.59853177</v>
      </c>
      <c r="AC164" s="1148">
        <f t="shared" ref="AC164" si="508">AB164+AC163</f>
        <v>17951130.308398258</v>
      </c>
      <c r="AD164" s="1148">
        <f t="shared" ref="AD164" si="509">AC164+AD163</f>
        <v>20144614.492734652</v>
      </c>
      <c r="AE164" s="1148">
        <f t="shared" ref="AE164" si="510">AD164+AE163</f>
        <v>22274210.788206883</v>
      </c>
      <c r="AF164" s="1148">
        <f t="shared" ref="AF164" si="511">AE164+AF163</f>
        <v>24341780.007111959</v>
      </c>
      <c r="AG164" s="1148">
        <f t="shared" ref="AG164" si="512">AF164+AG163</f>
        <v>26349128.763330482</v>
      </c>
      <c r="AH164" s="1148">
        <f t="shared" ref="AH164" si="513">AG164+AH163</f>
        <v>28298011.05092128</v>
      </c>
      <c r="AI164" s="1148">
        <f t="shared" ref="AI164" si="514">AH164+AI163</f>
        <v>30190129.776737589</v>
      </c>
      <c r="AJ164" s="1148">
        <f t="shared" ref="AJ164" si="515">AI164+AJ163</f>
        <v>32027138.248403907</v>
      </c>
      <c r="AK164" s="1149">
        <f t="shared" ref="AK164" si="516">AJ164+AK163</f>
        <v>33810641.618953727</v>
      </c>
      <c r="AL164" s="1149">
        <f t="shared" ref="AL164" si="517">AK164+AL163</f>
        <v>35542198.289390452</v>
      </c>
      <c r="AM164" s="1149">
        <f t="shared" ref="AM164" si="518">AL164+AM163</f>
        <v>43911716.944016173</v>
      </c>
    </row>
    <row r="165" spans="2:39" s="657" customFormat="1" x14ac:dyDescent="0.25">
      <c r="B165" s="935"/>
      <c r="C165" s="939"/>
      <c r="D165" s="939"/>
      <c r="E165" s="939"/>
      <c r="F165" s="939"/>
      <c r="G165" s="939"/>
      <c r="H165" s="939"/>
      <c r="I165" s="939"/>
      <c r="J165" s="939"/>
      <c r="K165" s="939"/>
      <c r="L165" s="939"/>
      <c r="M165" s="939"/>
      <c r="N165" s="939"/>
      <c r="O165" s="939"/>
      <c r="P165" s="939"/>
      <c r="Q165" s="939"/>
      <c r="R165" s="939"/>
      <c r="S165" s="939"/>
      <c r="T165" s="939"/>
      <c r="U165" s="939"/>
      <c r="V165" s="939"/>
      <c r="W165" s="939"/>
      <c r="X165" s="939"/>
      <c r="Y165" s="939"/>
      <c r="Z165" s="939"/>
      <c r="AA165" s="939"/>
      <c r="AB165" s="939"/>
      <c r="AC165" s="939"/>
      <c r="AD165" s="939"/>
      <c r="AE165" s="939"/>
      <c r="AF165" s="939"/>
      <c r="AG165" s="939"/>
      <c r="AH165" s="939"/>
      <c r="AI165" s="939"/>
      <c r="AJ165" s="939"/>
      <c r="AK165" s="939"/>
      <c r="AL165" s="939"/>
      <c r="AM165" s="939"/>
    </row>
    <row r="166" spans="2:39" s="657" customFormat="1" x14ac:dyDescent="0.25">
      <c r="B166" s="935"/>
      <c r="C166" s="939"/>
      <c r="D166" s="939"/>
      <c r="E166" s="939"/>
      <c r="F166" s="939"/>
      <c r="G166" s="939"/>
      <c r="H166" s="939"/>
      <c r="I166" s="939"/>
      <c r="J166" s="939"/>
      <c r="K166" s="939"/>
      <c r="L166" s="939"/>
      <c r="M166" s="939"/>
      <c r="N166" s="939"/>
      <c r="O166" s="939"/>
      <c r="P166" s="939"/>
      <c r="Q166" s="939"/>
      <c r="R166" s="939"/>
      <c r="S166" s="939"/>
      <c r="T166" s="939"/>
      <c r="U166" s="939"/>
      <c r="V166" s="939"/>
      <c r="W166" s="939"/>
      <c r="X166" s="939"/>
      <c r="Y166" s="939"/>
      <c r="Z166" s="939"/>
      <c r="AA166" s="939"/>
      <c r="AB166" s="939"/>
      <c r="AC166" s="939"/>
      <c r="AD166" s="939"/>
      <c r="AE166" s="939"/>
      <c r="AF166" s="939"/>
      <c r="AG166" s="939"/>
      <c r="AH166" s="939"/>
      <c r="AI166" s="939"/>
      <c r="AJ166" s="939"/>
      <c r="AK166" s="939"/>
      <c r="AL166" s="939"/>
      <c r="AM166" s="939"/>
    </row>
    <row r="167" spans="2:39" x14ac:dyDescent="0.25">
      <c r="B167" s="654" t="s">
        <v>546</v>
      </c>
      <c r="C167" s="913">
        <v>2018</v>
      </c>
      <c r="D167" s="654">
        <v>2019</v>
      </c>
      <c r="E167" s="654">
        <f>D167+1</f>
        <v>2020</v>
      </c>
      <c r="F167" s="654">
        <f t="shared" ref="F167:Z167" si="519">E167+1</f>
        <v>2021</v>
      </c>
      <c r="G167" s="654">
        <f t="shared" si="519"/>
        <v>2022</v>
      </c>
      <c r="H167" s="654">
        <f t="shared" si="519"/>
        <v>2023</v>
      </c>
      <c r="I167" s="654">
        <f t="shared" si="519"/>
        <v>2024</v>
      </c>
      <c r="J167" s="654">
        <f t="shared" si="519"/>
        <v>2025</v>
      </c>
      <c r="K167" s="654">
        <f t="shared" si="519"/>
        <v>2026</v>
      </c>
      <c r="L167" s="654">
        <f t="shared" si="519"/>
        <v>2027</v>
      </c>
      <c r="M167" s="654">
        <f t="shared" si="519"/>
        <v>2028</v>
      </c>
      <c r="N167" s="654">
        <f t="shared" si="519"/>
        <v>2029</v>
      </c>
      <c r="O167" s="654">
        <f t="shared" si="519"/>
        <v>2030</v>
      </c>
      <c r="P167" s="654">
        <f t="shared" si="519"/>
        <v>2031</v>
      </c>
      <c r="Q167" s="654">
        <f t="shared" si="519"/>
        <v>2032</v>
      </c>
      <c r="R167" s="654">
        <f t="shared" si="519"/>
        <v>2033</v>
      </c>
      <c r="S167" s="654">
        <f t="shared" si="519"/>
        <v>2034</v>
      </c>
      <c r="T167" s="654">
        <f t="shared" si="519"/>
        <v>2035</v>
      </c>
      <c r="U167" s="654">
        <f t="shared" si="519"/>
        <v>2036</v>
      </c>
      <c r="V167" s="654">
        <f t="shared" si="519"/>
        <v>2037</v>
      </c>
      <c r="W167" s="654">
        <f t="shared" si="519"/>
        <v>2038</v>
      </c>
      <c r="X167" s="654">
        <f t="shared" si="519"/>
        <v>2039</v>
      </c>
      <c r="Y167" s="654">
        <f t="shared" si="519"/>
        <v>2040</v>
      </c>
      <c r="Z167" s="654">
        <f t="shared" si="519"/>
        <v>2041</v>
      </c>
      <c r="AA167" s="654">
        <f t="shared" ref="AA167" si="520">Z167+1</f>
        <v>2042</v>
      </c>
      <c r="AB167" s="654">
        <f t="shared" ref="AB167" si="521">AA167+1</f>
        <v>2043</v>
      </c>
      <c r="AC167" s="654">
        <f t="shared" ref="AC167" si="522">AB167+1</f>
        <v>2044</v>
      </c>
      <c r="AD167" s="654">
        <f t="shared" ref="AD167" si="523">AC167+1</f>
        <v>2045</v>
      </c>
      <c r="AE167" s="654">
        <f t="shared" ref="AE167" si="524">AD167+1</f>
        <v>2046</v>
      </c>
      <c r="AF167" s="654">
        <f t="shared" ref="AF167" si="525">AE167+1</f>
        <v>2047</v>
      </c>
      <c r="AG167" s="654">
        <f t="shared" ref="AG167" si="526">AF167+1</f>
        <v>2048</v>
      </c>
      <c r="AH167" s="654">
        <f t="shared" ref="AH167" si="527">AG167+1</f>
        <v>2049</v>
      </c>
      <c r="AI167" s="654">
        <f t="shared" ref="AI167" si="528">AH167+1</f>
        <v>2050</v>
      </c>
      <c r="AJ167" s="654">
        <f t="shared" ref="AJ167" si="529">AI167+1</f>
        <v>2051</v>
      </c>
      <c r="AK167" s="654">
        <f t="shared" ref="AK167" si="530">AJ167+1</f>
        <v>2052</v>
      </c>
      <c r="AL167" s="654">
        <f t="shared" ref="AL167" si="531">AK167+1</f>
        <v>2053</v>
      </c>
      <c r="AM167" s="654">
        <f t="shared" ref="AM167" si="532">AL167+1</f>
        <v>2054</v>
      </c>
    </row>
    <row r="168" spans="2:39" x14ac:dyDescent="0.25">
      <c r="B168" s="914"/>
      <c r="C168" s="915">
        <f>Assumptions!$D$9</f>
        <v>7.0000000000000007E-2</v>
      </c>
      <c r="D168" s="916">
        <f>1/(1+$C$168)^(D167-$C$167)</f>
        <v>0.93457943925233644</v>
      </c>
      <c r="E168" s="916">
        <f t="shared" ref="E168:Z168" si="533">1/(1+$C$168)^(E167-$C$167)</f>
        <v>0.87343872827321156</v>
      </c>
      <c r="F168" s="916">
        <f t="shared" si="533"/>
        <v>0.81629787689085187</v>
      </c>
      <c r="G168" s="916">
        <f t="shared" si="533"/>
        <v>0.7628952120475252</v>
      </c>
      <c r="H168" s="916">
        <f t="shared" si="533"/>
        <v>0.71298617948366838</v>
      </c>
      <c r="I168" s="916">
        <f t="shared" si="533"/>
        <v>0.66634222381651254</v>
      </c>
      <c r="J168" s="916">
        <f t="shared" si="533"/>
        <v>0.62274974188459109</v>
      </c>
      <c r="K168" s="916">
        <f t="shared" si="533"/>
        <v>0.5820091045650384</v>
      </c>
      <c r="L168" s="916">
        <f t="shared" si="533"/>
        <v>0.54393374258414806</v>
      </c>
      <c r="M168" s="916">
        <f t="shared" si="533"/>
        <v>0.5083492921347178</v>
      </c>
      <c r="N168" s="916">
        <f t="shared" si="533"/>
        <v>0.47509279638758667</v>
      </c>
      <c r="O168" s="916">
        <f t="shared" si="533"/>
        <v>0.44401195924073528</v>
      </c>
      <c r="P168" s="916">
        <f t="shared" si="533"/>
        <v>0.41496444788853759</v>
      </c>
      <c r="Q168" s="916">
        <f t="shared" si="533"/>
        <v>0.3878172410173249</v>
      </c>
      <c r="R168" s="916">
        <f t="shared" si="533"/>
        <v>0.36244601964235967</v>
      </c>
      <c r="S168" s="916">
        <f t="shared" si="533"/>
        <v>0.33873459779659787</v>
      </c>
      <c r="T168" s="916">
        <f t="shared" si="533"/>
        <v>0.31657439046411018</v>
      </c>
      <c r="U168" s="916">
        <f t="shared" si="533"/>
        <v>0.29586391632159825</v>
      </c>
      <c r="V168" s="916">
        <f t="shared" si="533"/>
        <v>0.27650833301083949</v>
      </c>
      <c r="W168" s="916">
        <f t="shared" si="533"/>
        <v>0.2584190028138687</v>
      </c>
      <c r="X168" s="916">
        <f t="shared" si="533"/>
        <v>0.24151308674193336</v>
      </c>
      <c r="Y168" s="916">
        <f t="shared" si="533"/>
        <v>0.22571316517937698</v>
      </c>
      <c r="Z168" s="916">
        <f t="shared" si="533"/>
        <v>0.21094688334521211</v>
      </c>
      <c r="AA168" s="916">
        <f t="shared" ref="AA168" si="534">1/(1+$C$168)^(AA167-$C$167)</f>
        <v>0.19714661994879637</v>
      </c>
      <c r="AB168" s="916">
        <f t="shared" ref="AB168" si="535">1/(1+$C$168)^(AB167-$C$167)</f>
        <v>0.18424917752223957</v>
      </c>
      <c r="AC168" s="916">
        <f t="shared" ref="AC168" si="536">1/(1+$C$168)^(AC167-$C$167)</f>
        <v>0.17219549301143888</v>
      </c>
      <c r="AD168" s="916">
        <f t="shared" ref="AD168" si="537">1/(1+$C$168)^(AD167-$C$167)</f>
        <v>0.16093036730041013</v>
      </c>
      <c r="AE168" s="916">
        <f t="shared" ref="AE168" si="538">1/(1+$C$168)^(AE167-$C$167)</f>
        <v>0.15040221243028987</v>
      </c>
      <c r="AF168" s="916">
        <f t="shared" ref="AF168" si="539">1/(1+$C$168)^(AF167-$C$167)</f>
        <v>0.1405628153554111</v>
      </c>
      <c r="AG168" s="916">
        <f t="shared" ref="AG168" si="540">1/(1+$C$168)^(AG167-$C$167)</f>
        <v>0.13136711715458982</v>
      </c>
      <c r="AH168" s="916">
        <f t="shared" ref="AH168" si="541">1/(1+$C$168)^(AH167-$C$167)</f>
        <v>0.1227730066865325</v>
      </c>
      <c r="AI168" s="916">
        <f t="shared" ref="AI168" si="542">1/(1+$C$168)^(AI167-$C$167)</f>
        <v>0.11474112774442291</v>
      </c>
      <c r="AJ168" s="916">
        <f>1/(1+$C$168)^(AJ167-$C$167)</f>
        <v>0.10723469882656347</v>
      </c>
      <c r="AK168" s="916">
        <f>1/(1+$C$168)^(AK167-$C$167)</f>
        <v>0.10021934469772288</v>
      </c>
      <c r="AL168" s="916">
        <f t="shared" ref="AL168:AM168" si="543">1/(1+$C$168)^(AL167-$C$167)</f>
        <v>9.366293896983445E-2</v>
      </c>
      <c r="AM168" s="916">
        <f t="shared" si="543"/>
        <v>8.7535456981153698E-2</v>
      </c>
    </row>
    <row r="169" spans="2:39" s="657" customFormat="1" x14ac:dyDescent="0.25">
      <c r="B169" s="914"/>
      <c r="C169" s="915">
        <v>0.03</v>
      </c>
      <c r="D169" s="916">
        <f>1/(1+$C$169)^(D167-$C$167)</f>
        <v>0.970873786407767</v>
      </c>
      <c r="E169" s="916">
        <f t="shared" ref="E169:AM169" si="544">1/(1+$C$169)^(E167-$C$167)</f>
        <v>0.94259590913375435</v>
      </c>
      <c r="F169" s="916">
        <f t="shared" si="544"/>
        <v>0.91514165935315961</v>
      </c>
      <c r="G169" s="916">
        <f t="shared" si="544"/>
        <v>0.888487047915689</v>
      </c>
      <c r="H169" s="916">
        <f t="shared" si="544"/>
        <v>0.86260878438416411</v>
      </c>
      <c r="I169" s="916">
        <f t="shared" si="544"/>
        <v>0.83748425668365445</v>
      </c>
      <c r="J169" s="916">
        <f t="shared" si="544"/>
        <v>0.81309151134335378</v>
      </c>
      <c r="K169" s="916">
        <f t="shared" si="544"/>
        <v>0.78940923431393573</v>
      </c>
      <c r="L169" s="916">
        <f t="shared" si="544"/>
        <v>0.76641673234362695</v>
      </c>
      <c r="M169" s="916">
        <f t="shared" si="544"/>
        <v>0.74409391489672516</v>
      </c>
      <c r="N169" s="916">
        <f t="shared" si="544"/>
        <v>0.72242127659876232</v>
      </c>
      <c r="O169" s="916">
        <f t="shared" si="544"/>
        <v>0.70137988019297326</v>
      </c>
      <c r="P169" s="916">
        <f t="shared" si="544"/>
        <v>0.68095133999317792</v>
      </c>
      <c r="Q169" s="916">
        <f t="shared" si="544"/>
        <v>0.66111780581861923</v>
      </c>
      <c r="R169" s="916">
        <f t="shared" si="544"/>
        <v>0.64186194739671765</v>
      </c>
      <c r="S169" s="916">
        <f t="shared" si="544"/>
        <v>0.62316693922011435</v>
      </c>
      <c r="T169" s="916">
        <f t="shared" si="544"/>
        <v>0.60501644584477121</v>
      </c>
      <c r="U169" s="916">
        <f t="shared" si="544"/>
        <v>0.5873946076162827</v>
      </c>
      <c r="V169" s="916">
        <f t="shared" si="544"/>
        <v>0.57028602681192497</v>
      </c>
      <c r="W169" s="916">
        <f t="shared" si="544"/>
        <v>0.55367575418633497</v>
      </c>
      <c r="X169" s="916">
        <f t="shared" si="544"/>
        <v>0.5375492759090631</v>
      </c>
      <c r="Y169" s="916">
        <f t="shared" si="544"/>
        <v>0.52189250088258554</v>
      </c>
      <c r="Z169" s="916">
        <f t="shared" si="544"/>
        <v>0.50669174842969467</v>
      </c>
      <c r="AA169" s="916">
        <f t="shared" si="544"/>
        <v>0.49193373633950943</v>
      </c>
      <c r="AB169" s="916">
        <f t="shared" si="544"/>
        <v>0.47760556926165965</v>
      </c>
      <c r="AC169" s="916">
        <f t="shared" si="544"/>
        <v>0.46369472743850448</v>
      </c>
      <c r="AD169" s="916">
        <f t="shared" si="544"/>
        <v>0.45018905576553836</v>
      </c>
      <c r="AE169" s="916">
        <f t="shared" si="544"/>
        <v>0.4370767531704256</v>
      </c>
      <c r="AF169" s="916">
        <f t="shared" si="544"/>
        <v>0.42434636230138412</v>
      </c>
      <c r="AG169" s="916">
        <f t="shared" si="544"/>
        <v>0.41198675951590691</v>
      </c>
      <c r="AH169" s="916">
        <f t="shared" si="544"/>
        <v>0.39998714516107459</v>
      </c>
      <c r="AI169" s="916">
        <f t="shared" si="544"/>
        <v>0.38833703413696569</v>
      </c>
      <c r="AJ169" s="916">
        <f t="shared" si="544"/>
        <v>0.37702624673491814</v>
      </c>
      <c r="AK169" s="916">
        <f t="shared" si="544"/>
        <v>0.36604489974263904</v>
      </c>
      <c r="AL169" s="916">
        <f t="shared" si="544"/>
        <v>0.35538339780838735</v>
      </c>
      <c r="AM169" s="916">
        <f t="shared" si="544"/>
        <v>0.34503242505668674</v>
      </c>
    </row>
  </sheetData>
  <mergeCells count="4">
    <mergeCell ref="B5:B6"/>
    <mergeCell ref="C5:E5"/>
    <mergeCell ref="F5:H5"/>
    <mergeCell ref="I5:K5"/>
  </mergeCells>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142"/>
  <sheetViews>
    <sheetView workbookViewId="0"/>
  </sheetViews>
  <sheetFormatPr defaultColWidth="9" defaultRowHeight="10.5" outlineLevelRow="1" x14ac:dyDescent="0.25"/>
  <cols>
    <col min="1" max="1" width="0.88671875" style="269" customWidth="1"/>
    <col min="2" max="2" width="33.21875" style="269" customWidth="1"/>
    <col min="3" max="3" width="15.21875" style="269" customWidth="1"/>
    <col min="4" max="4" width="5.77734375" style="269" customWidth="1"/>
    <col min="5" max="5" width="11.44140625" style="269" customWidth="1"/>
    <col min="6" max="6" width="8.77734375" style="269" customWidth="1"/>
    <col min="7" max="7" width="9.6640625" style="269" customWidth="1"/>
    <col min="8" max="8" width="12.6640625" style="269" customWidth="1"/>
    <col min="9" max="9" width="75.21875" style="269" customWidth="1"/>
    <col min="10" max="10" width="17" style="269" customWidth="1"/>
    <col min="11" max="11" width="5.77734375" style="269" customWidth="1"/>
    <col min="12" max="12" width="9" style="269"/>
    <col min="13" max="13" width="36.33203125" style="269" customWidth="1"/>
    <col min="14" max="16384" width="9" style="269"/>
  </cols>
  <sheetData>
    <row r="1" spans="1:12" s="245" customFormat="1" ht="13.1" x14ac:dyDescent="0.25">
      <c r="A1" s="243" t="s">
        <v>203</v>
      </c>
      <c r="B1" s="244"/>
      <c r="F1" s="246"/>
      <c r="G1" s="246"/>
      <c r="I1" s="247"/>
      <c r="J1" s="247"/>
      <c r="K1" s="248"/>
    </row>
    <row r="3" spans="1:12" s="245" customFormat="1" hidden="1" outlineLevel="1" x14ac:dyDescent="0.25">
      <c r="A3" s="244"/>
      <c r="B3" s="244" t="s">
        <v>204</v>
      </c>
      <c r="F3" s="246"/>
      <c r="G3" s="246"/>
      <c r="I3" s="247"/>
      <c r="J3" s="247"/>
      <c r="K3" s="248"/>
    </row>
    <row r="4" spans="1:12" s="250" customFormat="1" hidden="1" outlineLevel="1" x14ac:dyDescent="0.25">
      <c r="A4" s="249"/>
      <c r="C4" s="251"/>
      <c r="D4" s="251"/>
      <c r="E4" s="252"/>
      <c r="F4" s="253"/>
      <c r="G4" s="254"/>
      <c r="H4" s="255"/>
      <c r="K4" s="256"/>
      <c r="L4" s="257"/>
    </row>
    <row r="5" spans="1:12" s="250" customFormat="1" ht="20.95" hidden="1" outlineLevel="1" x14ac:dyDescent="0.25">
      <c r="A5" s="249"/>
      <c r="C5" s="258" t="s">
        <v>17</v>
      </c>
      <c r="D5" s="258" t="s">
        <v>205</v>
      </c>
      <c r="E5" s="259" t="s">
        <v>206</v>
      </c>
      <c r="F5" s="253"/>
      <c r="G5" s="258"/>
      <c r="H5" s="255"/>
      <c r="I5" s="260" t="s">
        <v>207</v>
      </c>
      <c r="J5" s="261" t="s">
        <v>22</v>
      </c>
      <c r="K5" s="256"/>
      <c r="L5" s="257"/>
    </row>
    <row r="6" spans="1:12" s="257" customFormat="1" ht="13.75" hidden="1" customHeight="1" outlineLevel="1" x14ac:dyDescent="0.25">
      <c r="A6" s="262"/>
      <c r="B6" s="263" t="s">
        <v>208</v>
      </c>
      <c r="C6" s="251" t="s">
        <v>209</v>
      </c>
      <c r="D6" s="251">
        <v>2016</v>
      </c>
      <c r="E6" s="264">
        <v>0</v>
      </c>
      <c r="F6" s="265" t="s">
        <v>210</v>
      </c>
      <c r="G6" s="266"/>
      <c r="H6" s="267"/>
      <c r="I6" s="1252" t="s">
        <v>211</v>
      </c>
      <c r="J6" s="1253" t="s">
        <v>212</v>
      </c>
      <c r="K6" s="268"/>
    </row>
    <row r="7" spans="1:12" s="257" customFormat="1" ht="13.75" hidden="1" customHeight="1" outlineLevel="1" x14ac:dyDescent="0.25">
      <c r="A7" s="262"/>
      <c r="B7" s="269" t="s">
        <v>213</v>
      </c>
      <c r="C7" s="251" t="str">
        <f t="shared" ref="C7:C10" si="0">$C$6</f>
        <v>$ per METRIC ton</v>
      </c>
      <c r="D7" s="251">
        <f>D$6</f>
        <v>2016</v>
      </c>
      <c r="E7" s="264">
        <v>2063.5268650364142</v>
      </c>
      <c r="F7" s="270"/>
      <c r="I7" s="1252"/>
      <c r="J7" s="1253"/>
      <c r="K7" s="268"/>
    </row>
    <row r="8" spans="1:12" s="257" customFormat="1" ht="13.75" hidden="1" customHeight="1" outlineLevel="1" x14ac:dyDescent="0.25">
      <c r="A8" s="262"/>
      <c r="B8" s="269" t="s">
        <v>214</v>
      </c>
      <c r="C8" s="251" t="str">
        <f t="shared" si="0"/>
        <v>$ per METRIC ton</v>
      </c>
      <c r="D8" s="251">
        <f t="shared" ref="D8:D10" si="1">D$6</f>
        <v>2016</v>
      </c>
      <c r="E8" s="264">
        <v>8131.7508992380481</v>
      </c>
      <c r="F8" s="270"/>
      <c r="I8" s="1252"/>
      <c r="J8" s="1253"/>
      <c r="K8" s="268"/>
    </row>
    <row r="9" spans="1:12" s="257" customFormat="1" ht="13.75" hidden="1" customHeight="1" outlineLevel="1" x14ac:dyDescent="0.25">
      <c r="A9" s="262"/>
      <c r="B9" s="269" t="s">
        <v>215</v>
      </c>
      <c r="C9" s="251" t="str">
        <f t="shared" si="0"/>
        <v>$ per METRIC ton</v>
      </c>
      <c r="D9" s="251">
        <f t="shared" si="1"/>
        <v>2016</v>
      </c>
      <c r="E9" s="264">
        <v>371984.88907495898</v>
      </c>
      <c r="F9" s="270"/>
      <c r="I9" s="1252"/>
      <c r="J9" s="1253"/>
      <c r="K9" s="268"/>
    </row>
    <row r="10" spans="1:12" s="257" customFormat="1" ht="13.75" hidden="1" customHeight="1" outlineLevel="1" x14ac:dyDescent="0.25">
      <c r="A10" s="262"/>
      <c r="B10" s="269" t="s">
        <v>216</v>
      </c>
      <c r="C10" s="251" t="str">
        <f t="shared" si="0"/>
        <v>$ per METRIC ton</v>
      </c>
      <c r="D10" s="251">
        <f t="shared" si="1"/>
        <v>2016</v>
      </c>
      <c r="E10" s="264">
        <v>48060.775275420754</v>
      </c>
      <c r="F10" s="270"/>
      <c r="I10" s="1252"/>
      <c r="J10" s="1253"/>
      <c r="K10" s="268"/>
    </row>
    <row r="11" spans="1:12" s="257" customFormat="1" hidden="1" outlineLevel="1" x14ac:dyDescent="0.25">
      <c r="A11" s="262"/>
      <c r="B11" s="265"/>
      <c r="C11" s="251"/>
      <c r="D11" s="270"/>
      <c r="E11" s="270"/>
      <c r="F11" s="270"/>
      <c r="G11" s="270"/>
      <c r="H11" s="267"/>
      <c r="I11" s="271"/>
      <c r="J11" s="268"/>
      <c r="K11" s="268"/>
    </row>
    <row r="12" spans="1:12" s="245" customFormat="1" hidden="1" outlineLevel="1" x14ac:dyDescent="0.25">
      <c r="A12" s="244"/>
      <c r="B12" s="244" t="s">
        <v>217</v>
      </c>
      <c r="F12" s="246"/>
      <c r="G12" s="246"/>
      <c r="I12" s="247"/>
      <c r="J12" s="247"/>
      <c r="K12" s="248"/>
    </row>
    <row r="13" spans="1:12" hidden="1" outlineLevel="1" x14ac:dyDescent="0.25">
      <c r="A13" s="272"/>
      <c r="B13" s="272"/>
      <c r="F13" s="273"/>
      <c r="G13" s="273"/>
      <c r="I13" s="274"/>
      <c r="J13" s="274"/>
      <c r="K13" s="275"/>
    </row>
    <row r="14" spans="1:12" hidden="1" outlineLevel="1" x14ac:dyDescent="0.25">
      <c r="A14" s="272"/>
      <c r="B14" s="272"/>
      <c r="C14" s="258" t="s">
        <v>17</v>
      </c>
      <c r="D14" s="258" t="s">
        <v>205</v>
      </c>
      <c r="E14" s="259" t="s">
        <v>1</v>
      </c>
      <c r="F14" s="253"/>
      <c r="G14" s="276"/>
      <c r="H14" s="276"/>
      <c r="I14" s="260" t="s">
        <v>207</v>
      </c>
      <c r="J14" s="261" t="s">
        <v>22</v>
      </c>
      <c r="K14" s="275"/>
      <c r="L14" s="272"/>
    </row>
    <row r="15" spans="1:12" s="263" customFormat="1" hidden="1" outlineLevel="1" x14ac:dyDescent="0.25">
      <c r="A15" s="277"/>
      <c r="B15" s="263" t="s">
        <v>208</v>
      </c>
      <c r="C15" s="251" t="s">
        <v>218</v>
      </c>
      <c r="D15" s="251">
        <v>1989</v>
      </c>
      <c r="E15" s="278">
        <v>300</v>
      </c>
      <c r="F15" s="253"/>
      <c r="G15" s="254"/>
      <c r="H15" s="255"/>
      <c r="I15" s="279" t="s">
        <v>219</v>
      </c>
      <c r="J15" s="280" t="s">
        <v>220</v>
      </c>
      <c r="K15" s="281"/>
      <c r="L15" s="269"/>
    </row>
    <row r="16" spans="1:12" s="263" customFormat="1" collapsed="1" x14ac:dyDescent="0.25">
      <c r="A16" s="277"/>
      <c r="C16" s="282"/>
      <c r="D16" s="282"/>
      <c r="E16" s="282"/>
      <c r="F16" s="283"/>
      <c r="G16" s="254"/>
      <c r="H16" s="255"/>
      <c r="I16" s="279"/>
      <c r="K16" s="281"/>
      <c r="L16" s="269"/>
    </row>
    <row r="17" spans="1:12" s="245" customFormat="1" hidden="1" outlineLevel="1" x14ac:dyDescent="0.25">
      <c r="A17" s="244"/>
      <c r="B17" s="244" t="s">
        <v>221</v>
      </c>
      <c r="C17" s="246"/>
      <c r="D17" s="246"/>
      <c r="E17" s="284" t="s">
        <v>222</v>
      </c>
      <c r="F17" s="246"/>
      <c r="G17" s="246"/>
      <c r="H17" s="285"/>
      <c r="K17" s="248"/>
    </row>
    <row r="18" spans="1:12" s="289" customFormat="1" hidden="1" outlineLevel="1" x14ac:dyDescent="0.25">
      <c r="A18" s="277"/>
      <c r="B18" s="286"/>
      <c r="C18" s="287"/>
      <c r="D18" s="287"/>
      <c r="E18" s="287"/>
      <c r="F18" s="287"/>
      <c r="G18" s="287"/>
      <c r="H18" s="288"/>
      <c r="K18" s="290"/>
    </row>
    <row r="19" spans="1:12" s="296" customFormat="1" hidden="1" outlineLevel="1" x14ac:dyDescent="0.25">
      <c r="A19" s="277"/>
      <c r="B19" s="291" t="s">
        <v>223</v>
      </c>
      <c r="C19" s="292"/>
      <c r="D19" s="293"/>
      <c r="E19" s="294">
        <v>0.05</v>
      </c>
      <c r="F19" s="294">
        <v>0.03</v>
      </c>
      <c r="G19" s="294">
        <v>2.5000000000000001E-2</v>
      </c>
      <c r="H19" s="294">
        <v>0.03</v>
      </c>
      <c r="I19" s="260" t="s">
        <v>207</v>
      </c>
      <c r="J19" s="260" t="s">
        <v>22</v>
      </c>
      <c r="K19" s="295"/>
    </row>
    <row r="20" spans="1:12" s="296" customFormat="1" hidden="1" outlineLevel="1" x14ac:dyDescent="0.25">
      <c r="A20" s="277"/>
      <c r="B20" s="291" t="s">
        <v>224</v>
      </c>
      <c r="C20" s="292"/>
      <c r="D20" s="292"/>
      <c r="E20" s="297" t="s">
        <v>148</v>
      </c>
      <c r="F20" s="297" t="s">
        <v>148</v>
      </c>
      <c r="G20" s="297" t="s">
        <v>148</v>
      </c>
      <c r="H20" s="297" t="s">
        <v>225</v>
      </c>
    </row>
    <row r="21" spans="1:12" s="296" customFormat="1" ht="41.9" hidden="1" outlineLevel="1" x14ac:dyDescent="0.25">
      <c r="A21" s="277"/>
      <c r="B21" s="298" t="s">
        <v>226</v>
      </c>
      <c r="C21" s="299" t="s">
        <v>209</v>
      </c>
      <c r="D21" s="299">
        <v>2007</v>
      </c>
      <c r="E21" s="300">
        <v>10</v>
      </c>
      <c r="F21" s="264">
        <v>31</v>
      </c>
      <c r="G21" s="300">
        <v>50</v>
      </c>
      <c r="H21" s="300">
        <v>86</v>
      </c>
      <c r="I21" s="301" t="s">
        <v>227</v>
      </c>
      <c r="J21" s="302" t="s">
        <v>228</v>
      </c>
    </row>
    <row r="22" spans="1:12" s="296" customFormat="1" ht="14.4" hidden="1" outlineLevel="1" x14ac:dyDescent="0.25">
      <c r="A22" s="277"/>
      <c r="B22" s="303"/>
      <c r="C22" s="304"/>
      <c r="D22" s="304"/>
      <c r="E22"/>
      <c r="F22"/>
      <c r="G22"/>
      <c r="H22"/>
      <c r="I22" s="305"/>
    </row>
    <row r="23" spans="1:12" s="296" customFormat="1" hidden="1" outlineLevel="1" x14ac:dyDescent="0.25">
      <c r="A23" s="277"/>
      <c r="B23" s="306" t="s">
        <v>229</v>
      </c>
      <c r="C23" s="304"/>
      <c r="D23" s="304"/>
      <c r="E23" s="307"/>
      <c r="F23" s="307"/>
      <c r="G23" s="299"/>
      <c r="H23" s="307"/>
      <c r="I23" s="305"/>
      <c r="J23" s="302"/>
    </row>
    <row r="24" spans="1:12" s="308" customFormat="1" hidden="1" outlineLevel="1" x14ac:dyDescent="0.25">
      <c r="A24" s="277"/>
      <c r="B24" s="291" t="s">
        <v>223</v>
      </c>
      <c r="C24" s="292"/>
      <c r="D24" s="293"/>
      <c r="E24" s="294">
        <v>0.05</v>
      </c>
      <c r="F24" s="294">
        <v>0.03</v>
      </c>
      <c r="G24" s="294">
        <v>2.5000000000000001E-2</v>
      </c>
      <c r="H24" s="294">
        <v>0.03</v>
      </c>
      <c r="I24" s="305"/>
      <c r="J24" s="302"/>
      <c r="K24" s="302"/>
    </row>
    <row r="25" spans="1:12" s="308" customFormat="1" ht="11.95" hidden="1" customHeight="1" outlineLevel="1" x14ac:dyDescent="0.25">
      <c r="A25" s="277"/>
      <c r="B25" s="291" t="s">
        <v>224</v>
      </c>
      <c r="C25" s="292"/>
      <c r="D25" s="292"/>
      <c r="E25" s="297" t="s">
        <v>148</v>
      </c>
      <c r="F25" s="297" t="s">
        <v>148</v>
      </c>
      <c r="G25" s="297" t="s">
        <v>148</v>
      </c>
      <c r="H25" s="297" t="s">
        <v>225</v>
      </c>
      <c r="I25" s="305"/>
      <c r="J25" s="302"/>
      <c r="K25" s="302"/>
    </row>
    <row r="26" spans="1:12" s="308" customFormat="1" ht="11.3" hidden="1" customHeight="1" outlineLevel="1" x14ac:dyDescent="0.25">
      <c r="A26" s="277"/>
      <c r="B26" s="309" t="s">
        <v>230</v>
      </c>
      <c r="C26" s="304" t="s">
        <v>231</v>
      </c>
      <c r="D26" s="304" t="s">
        <v>232</v>
      </c>
      <c r="E26" s="310">
        <v>1.2E-2</v>
      </c>
      <c r="F26" s="310">
        <v>3.2000000000000001E-2</v>
      </c>
      <c r="G26" s="310">
        <v>2.4E-2</v>
      </c>
      <c r="H26" s="310">
        <v>4.3999999999999997E-2</v>
      </c>
      <c r="I26" s="1254" t="s">
        <v>233</v>
      </c>
      <c r="J26" s="1255" t="s">
        <v>228</v>
      </c>
      <c r="K26" s="302"/>
    </row>
    <row r="27" spans="1:12" s="308" customFormat="1" hidden="1" outlineLevel="1" x14ac:dyDescent="0.25">
      <c r="A27" s="277"/>
      <c r="B27" s="309" t="s">
        <v>234</v>
      </c>
      <c r="C27" s="304" t="s">
        <v>231</v>
      </c>
      <c r="D27" s="304" t="s">
        <v>232</v>
      </c>
      <c r="E27" s="310">
        <v>3.4000000000000002E-2</v>
      </c>
      <c r="F27" s="310">
        <v>2.1000000000000001E-2</v>
      </c>
      <c r="G27" s="310">
        <v>1.7000000000000001E-2</v>
      </c>
      <c r="H27" s="310">
        <v>2.3E-2</v>
      </c>
      <c r="I27" s="1254"/>
      <c r="J27" s="1255"/>
      <c r="K27" s="302"/>
    </row>
    <row r="28" spans="1:12" s="308" customFormat="1" hidden="1" outlineLevel="1" x14ac:dyDescent="0.25">
      <c r="A28" s="277"/>
      <c r="B28" s="309" t="s">
        <v>235</v>
      </c>
      <c r="C28" s="304" t="s">
        <v>231</v>
      </c>
      <c r="D28" s="304" t="s">
        <v>232</v>
      </c>
      <c r="E28" s="310">
        <v>0.03</v>
      </c>
      <c r="F28" s="310">
        <v>1.9E-2</v>
      </c>
      <c r="G28" s="310">
        <v>1.4999999999999999E-2</v>
      </c>
      <c r="H28" s="310">
        <v>0.02</v>
      </c>
      <c r="I28" s="1254"/>
      <c r="J28" s="1255"/>
      <c r="K28" s="305"/>
    </row>
    <row r="29" spans="1:12" s="308" customFormat="1" hidden="1" outlineLevel="1" x14ac:dyDescent="0.25">
      <c r="A29" s="277"/>
      <c r="B29" s="309" t="s">
        <v>236</v>
      </c>
      <c r="C29" s="304" t="s">
        <v>231</v>
      </c>
      <c r="D29" s="304" t="s">
        <v>232</v>
      </c>
      <c r="E29" s="310">
        <v>2.5999999999999999E-2</v>
      </c>
      <c r="F29" s="310">
        <v>1.6E-2</v>
      </c>
      <c r="G29" s="310">
        <v>1.2999999999999999E-2</v>
      </c>
      <c r="H29" s="310">
        <v>1.6E-2</v>
      </c>
      <c r="I29" s="1254"/>
      <c r="J29" s="1255"/>
    </row>
    <row r="30" spans="1:12" hidden="1" outlineLevel="1" x14ac:dyDescent="0.25">
      <c r="A30" s="277"/>
      <c r="E30" s="263"/>
      <c r="F30" s="263"/>
      <c r="G30" s="263"/>
      <c r="H30" s="263"/>
    </row>
    <row r="31" spans="1:12" hidden="1" outlineLevel="1" x14ac:dyDescent="0.25">
      <c r="A31" s="277"/>
      <c r="B31" s="272" t="s">
        <v>237</v>
      </c>
      <c r="C31" s="272"/>
      <c r="D31" s="272"/>
      <c r="E31" s="277"/>
      <c r="F31" s="277"/>
      <c r="G31" s="277"/>
      <c r="H31" s="277"/>
      <c r="K31" s="257"/>
      <c r="L31" s="257"/>
    </row>
    <row r="32" spans="1:12" hidden="1" outlineLevel="1" x14ac:dyDescent="0.25">
      <c r="A32" s="277"/>
      <c r="B32" s="249"/>
      <c r="C32" s="272"/>
      <c r="D32" s="272"/>
      <c r="E32" s="294">
        <v>0.05</v>
      </c>
      <c r="F32" s="294">
        <v>0.03</v>
      </c>
      <c r="G32" s="294">
        <v>2.5000000000000001E-2</v>
      </c>
      <c r="H32" s="294">
        <v>0.03</v>
      </c>
      <c r="L32" s="294">
        <v>0.03</v>
      </c>
    </row>
    <row r="33" spans="1:14" hidden="1" outlineLevel="1" x14ac:dyDescent="0.25">
      <c r="A33" s="277"/>
      <c r="B33" s="272" t="s">
        <v>238</v>
      </c>
      <c r="C33" s="258" t="s">
        <v>17</v>
      </c>
      <c r="D33" s="258" t="s">
        <v>205</v>
      </c>
      <c r="E33" s="297" t="s">
        <v>148</v>
      </c>
      <c r="F33" s="297" t="s">
        <v>148</v>
      </c>
      <c r="G33" s="297" t="s">
        <v>148</v>
      </c>
      <c r="H33" s="297" t="s">
        <v>225</v>
      </c>
      <c r="I33" s="260" t="s">
        <v>207</v>
      </c>
      <c r="J33" s="260" t="s">
        <v>22</v>
      </c>
      <c r="K33" s="258" t="s">
        <v>205</v>
      </c>
      <c r="L33" s="297" t="s">
        <v>148</v>
      </c>
    </row>
    <row r="34" spans="1:14" hidden="1" outlineLevel="1" x14ac:dyDescent="0.25">
      <c r="A34" s="277"/>
      <c r="B34" s="311">
        <v>2010</v>
      </c>
      <c r="C34" s="273" t="s">
        <v>209</v>
      </c>
      <c r="D34" s="273">
        <v>2007</v>
      </c>
      <c r="E34" s="312">
        <v>10</v>
      </c>
      <c r="F34" s="313">
        <v>31</v>
      </c>
      <c r="G34" s="312">
        <v>50</v>
      </c>
      <c r="H34" s="312">
        <v>86</v>
      </c>
      <c r="I34" s="1256" t="s">
        <v>239</v>
      </c>
      <c r="J34" s="1255" t="s">
        <v>240</v>
      </c>
      <c r="K34" s="282">
        <v>2015</v>
      </c>
      <c r="L34" s="312">
        <v>35</v>
      </c>
      <c r="M34" s="1256" t="s">
        <v>241</v>
      </c>
    </row>
    <row r="35" spans="1:14" hidden="1" outlineLevel="1" x14ac:dyDescent="0.25">
      <c r="A35" s="277"/>
      <c r="B35" s="311">
        <v>2011</v>
      </c>
      <c r="C35" s="273" t="s">
        <v>209</v>
      </c>
      <c r="D35" s="273">
        <v>2007</v>
      </c>
      <c r="E35" s="312">
        <v>11</v>
      </c>
      <c r="F35" s="313">
        <v>32</v>
      </c>
      <c r="G35" s="312">
        <v>51</v>
      </c>
      <c r="H35" s="312">
        <v>90</v>
      </c>
      <c r="I35" s="1256"/>
      <c r="J35" s="1255"/>
      <c r="K35" s="282">
        <v>2015</v>
      </c>
      <c r="L35" s="312">
        <v>36</v>
      </c>
      <c r="M35" s="1256"/>
      <c r="N35" s="314"/>
    </row>
    <row r="36" spans="1:14" hidden="1" outlineLevel="1" x14ac:dyDescent="0.25">
      <c r="A36" s="277"/>
      <c r="B36" s="311">
        <v>2012</v>
      </c>
      <c r="C36" s="273" t="s">
        <v>209</v>
      </c>
      <c r="D36" s="273">
        <v>2007</v>
      </c>
      <c r="E36" s="312">
        <v>11</v>
      </c>
      <c r="F36" s="313">
        <v>33</v>
      </c>
      <c r="G36" s="312">
        <v>53</v>
      </c>
      <c r="H36" s="312">
        <v>93</v>
      </c>
      <c r="I36" s="1256"/>
      <c r="J36" s="1255"/>
      <c r="K36" s="282">
        <v>2015</v>
      </c>
      <c r="L36" s="312">
        <v>37</v>
      </c>
      <c r="M36" s="1256"/>
      <c r="N36" s="314"/>
    </row>
    <row r="37" spans="1:14" hidden="1" outlineLevel="1" x14ac:dyDescent="0.25">
      <c r="A37" s="277"/>
      <c r="B37" s="311">
        <v>2013</v>
      </c>
      <c r="C37" s="273" t="s">
        <v>209</v>
      </c>
      <c r="D37" s="273">
        <v>2007</v>
      </c>
      <c r="E37" s="312">
        <v>11</v>
      </c>
      <c r="F37" s="313">
        <v>34</v>
      </c>
      <c r="G37" s="312">
        <v>54</v>
      </c>
      <c r="H37" s="312">
        <v>97</v>
      </c>
      <c r="I37" s="1256"/>
      <c r="J37" s="1255"/>
      <c r="K37" s="282">
        <v>2015</v>
      </c>
      <c r="L37" s="312">
        <v>38</v>
      </c>
      <c r="M37" s="1256"/>
      <c r="N37" s="314"/>
    </row>
    <row r="38" spans="1:14" hidden="1" outlineLevel="1" x14ac:dyDescent="0.25">
      <c r="A38" s="277"/>
      <c r="B38" s="311">
        <v>2014</v>
      </c>
      <c r="C38" s="273" t="s">
        <v>209</v>
      </c>
      <c r="D38" s="273">
        <v>2007</v>
      </c>
      <c r="E38" s="312">
        <v>11</v>
      </c>
      <c r="F38" s="313">
        <v>35</v>
      </c>
      <c r="G38" s="312">
        <v>55</v>
      </c>
      <c r="H38" s="312">
        <v>101</v>
      </c>
      <c r="I38" s="1256"/>
      <c r="J38" s="1255"/>
      <c r="K38" s="282">
        <v>2015</v>
      </c>
      <c r="L38" s="312">
        <v>40</v>
      </c>
      <c r="M38" s="1256"/>
      <c r="N38" s="314"/>
    </row>
    <row r="39" spans="1:14" hidden="1" outlineLevel="1" x14ac:dyDescent="0.25">
      <c r="A39" s="277"/>
      <c r="B39" s="311">
        <v>2015</v>
      </c>
      <c r="C39" s="273" t="s">
        <v>209</v>
      </c>
      <c r="D39" s="273">
        <v>2007</v>
      </c>
      <c r="E39" s="312">
        <v>11</v>
      </c>
      <c r="F39" s="313">
        <v>36</v>
      </c>
      <c r="G39" s="312">
        <v>56</v>
      </c>
      <c r="H39" s="312">
        <v>105</v>
      </c>
      <c r="I39" s="1256"/>
      <c r="J39" s="1255"/>
      <c r="K39" s="282">
        <v>2015</v>
      </c>
      <c r="L39" s="312">
        <v>41</v>
      </c>
      <c r="M39" s="1256"/>
      <c r="N39" s="314"/>
    </row>
    <row r="40" spans="1:14" hidden="1" outlineLevel="1" x14ac:dyDescent="0.25">
      <c r="A40" s="277"/>
      <c r="B40" s="311">
        <v>2016</v>
      </c>
      <c r="C40" s="273" t="s">
        <v>209</v>
      </c>
      <c r="D40" s="273">
        <v>2007</v>
      </c>
      <c r="E40" s="312">
        <v>11</v>
      </c>
      <c r="F40" s="313">
        <v>38</v>
      </c>
      <c r="G40" s="312">
        <v>57</v>
      </c>
      <c r="H40" s="312">
        <v>108</v>
      </c>
      <c r="J40" s="280"/>
      <c r="K40" s="282">
        <v>2015</v>
      </c>
      <c r="L40" s="312">
        <v>43</v>
      </c>
      <c r="N40" s="314"/>
    </row>
    <row r="41" spans="1:14" hidden="1" outlineLevel="1" x14ac:dyDescent="0.25">
      <c r="A41" s="277"/>
      <c r="B41" s="311">
        <v>2017</v>
      </c>
      <c r="C41" s="273" t="s">
        <v>209</v>
      </c>
      <c r="D41" s="273">
        <v>2007</v>
      </c>
      <c r="E41" s="312">
        <v>11</v>
      </c>
      <c r="F41" s="313">
        <v>39</v>
      </c>
      <c r="G41" s="312">
        <v>59</v>
      </c>
      <c r="H41" s="312">
        <v>112</v>
      </c>
      <c r="J41" s="280"/>
      <c r="K41" s="282">
        <v>2015</v>
      </c>
      <c r="L41" s="312">
        <v>44</v>
      </c>
      <c r="N41" s="314"/>
    </row>
    <row r="42" spans="1:14" hidden="1" outlineLevel="1" x14ac:dyDescent="0.25">
      <c r="A42" s="277"/>
      <c r="B42" s="311">
        <v>2018</v>
      </c>
      <c r="C42" s="273" t="s">
        <v>209</v>
      </c>
      <c r="D42" s="273">
        <v>2007</v>
      </c>
      <c r="E42" s="312">
        <v>12</v>
      </c>
      <c r="F42" s="313">
        <v>40</v>
      </c>
      <c r="G42" s="312">
        <v>60</v>
      </c>
      <c r="H42" s="312">
        <v>116</v>
      </c>
      <c r="J42" s="280"/>
      <c r="K42" s="282">
        <v>2015</v>
      </c>
      <c r="L42" s="312">
        <v>45</v>
      </c>
      <c r="N42" s="314"/>
    </row>
    <row r="43" spans="1:14" hidden="1" outlineLevel="1" x14ac:dyDescent="0.25">
      <c r="A43" s="277"/>
      <c r="B43" s="311">
        <v>2019</v>
      </c>
      <c r="C43" s="273" t="s">
        <v>209</v>
      </c>
      <c r="D43" s="273">
        <v>2007</v>
      </c>
      <c r="E43" s="312">
        <v>12</v>
      </c>
      <c r="F43" s="313">
        <v>41</v>
      </c>
      <c r="G43" s="312">
        <v>61</v>
      </c>
      <c r="H43" s="312">
        <v>120</v>
      </c>
      <c r="J43" s="280"/>
      <c r="K43" s="282">
        <v>2015</v>
      </c>
      <c r="L43" s="312">
        <v>46</v>
      </c>
      <c r="N43" s="314"/>
    </row>
    <row r="44" spans="1:14" hidden="1" outlineLevel="1" x14ac:dyDescent="0.25">
      <c r="A44" s="277"/>
      <c r="B44" s="311">
        <v>2020</v>
      </c>
      <c r="C44" s="273" t="s">
        <v>209</v>
      </c>
      <c r="D44" s="273">
        <v>2007</v>
      </c>
      <c r="E44" s="312">
        <v>12</v>
      </c>
      <c r="F44" s="313">
        <v>42</v>
      </c>
      <c r="G44" s="312">
        <v>62</v>
      </c>
      <c r="H44" s="312">
        <v>123</v>
      </c>
      <c r="J44" s="280"/>
      <c r="K44" s="282">
        <v>2015</v>
      </c>
      <c r="L44" s="312">
        <v>47</v>
      </c>
      <c r="N44" s="314"/>
    </row>
    <row r="45" spans="1:14" hidden="1" outlineLevel="1" x14ac:dyDescent="0.25">
      <c r="A45" s="277"/>
      <c r="B45" s="311">
        <v>2021</v>
      </c>
      <c r="C45" s="273" t="s">
        <v>209</v>
      </c>
      <c r="D45" s="273">
        <v>2007</v>
      </c>
      <c r="E45" s="312">
        <v>12</v>
      </c>
      <c r="F45" s="313">
        <v>42</v>
      </c>
      <c r="G45" s="312">
        <v>63</v>
      </c>
      <c r="H45" s="312">
        <v>126</v>
      </c>
      <c r="J45" s="280"/>
      <c r="K45" s="282">
        <v>2015</v>
      </c>
      <c r="L45" s="312">
        <v>47</v>
      </c>
      <c r="N45" s="314"/>
    </row>
    <row r="46" spans="1:14" hidden="1" outlineLevel="1" x14ac:dyDescent="0.25">
      <c r="A46" s="277"/>
      <c r="B46" s="311">
        <v>2022</v>
      </c>
      <c r="C46" s="273" t="s">
        <v>209</v>
      </c>
      <c r="D46" s="273">
        <v>2007</v>
      </c>
      <c r="E46" s="312">
        <v>13</v>
      </c>
      <c r="F46" s="313">
        <v>43</v>
      </c>
      <c r="G46" s="312">
        <v>64</v>
      </c>
      <c r="H46" s="312">
        <v>129</v>
      </c>
      <c r="J46" s="280"/>
      <c r="K46" s="282">
        <v>2015</v>
      </c>
      <c r="L46" s="312">
        <v>49</v>
      </c>
      <c r="N46" s="314"/>
    </row>
    <row r="47" spans="1:14" hidden="1" outlineLevel="1" x14ac:dyDescent="0.25">
      <c r="A47" s="277"/>
      <c r="B47" s="311">
        <v>2023</v>
      </c>
      <c r="C47" s="273" t="s">
        <v>209</v>
      </c>
      <c r="D47" s="273">
        <v>2007</v>
      </c>
      <c r="E47" s="312">
        <v>13</v>
      </c>
      <c r="F47" s="313">
        <v>44</v>
      </c>
      <c r="G47" s="312">
        <v>65</v>
      </c>
      <c r="H47" s="312">
        <v>132</v>
      </c>
      <c r="J47" s="280"/>
      <c r="K47" s="282">
        <v>2015</v>
      </c>
      <c r="L47" s="312">
        <v>50</v>
      </c>
      <c r="N47" s="314"/>
    </row>
    <row r="48" spans="1:14" hidden="1" outlineLevel="1" x14ac:dyDescent="0.25">
      <c r="A48" s="277"/>
      <c r="B48" s="311">
        <v>2024</v>
      </c>
      <c r="C48" s="273" t="s">
        <v>209</v>
      </c>
      <c r="D48" s="273">
        <v>2007</v>
      </c>
      <c r="E48" s="312">
        <v>13</v>
      </c>
      <c r="F48" s="313">
        <v>45</v>
      </c>
      <c r="G48" s="312">
        <v>66</v>
      </c>
      <c r="H48" s="312">
        <v>135</v>
      </c>
      <c r="J48" s="280"/>
      <c r="K48" s="282">
        <v>2015</v>
      </c>
      <c r="L48" s="312">
        <v>51</v>
      </c>
      <c r="N48" s="314"/>
    </row>
    <row r="49" spans="1:14" hidden="1" outlineLevel="1" x14ac:dyDescent="0.25">
      <c r="A49" s="277"/>
      <c r="B49" s="311">
        <v>2025</v>
      </c>
      <c r="C49" s="273" t="s">
        <v>209</v>
      </c>
      <c r="D49" s="273">
        <v>2007</v>
      </c>
      <c r="E49" s="312">
        <v>14</v>
      </c>
      <c r="F49" s="313">
        <v>46</v>
      </c>
      <c r="G49" s="312">
        <v>68</v>
      </c>
      <c r="H49" s="312">
        <v>138</v>
      </c>
      <c r="J49" s="280"/>
      <c r="K49" s="282">
        <v>2015</v>
      </c>
      <c r="L49" s="312">
        <v>52</v>
      </c>
      <c r="N49" s="314"/>
    </row>
    <row r="50" spans="1:14" hidden="1" outlineLevel="1" x14ac:dyDescent="0.25">
      <c r="A50" s="277"/>
      <c r="B50" s="311">
        <v>2026</v>
      </c>
      <c r="C50" s="273" t="s">
        <v>209</v>
      </c>
      <c r="D50" s="273">
        <v>2007</v>
      </c>
      <c r="E50" s="312">
        <v>14</v>
      </c>
      <c r="F50" s="313">
        <v>47</v>
      </c>
      <c r="G50" s="312">
        <v>69</v>
      </c>
      <c r="H50" s="312">
        <v>141</v>
      </c>
      <c r="J50" s="280"/>
      <c r="K50" s="282">
        <v>2015</v>
      </c>
      <c r="L50" s="312">
        <v>53</v>
      </c>
      <c r="N50" s="314"/>
    </row>
    <row r="51" spans="1:14" hidden="1" outlineLevel="1" x14ac:dyDescent="0.25">
      <c r="A51" s="277"/>
      <c r="B51" s="311">
        <v>2027</v>
      </c>
      <c r="C51" s="273" t="s">
        <v>209</v>
      </c>
      <c r="D51" s="273">
        <v>2007</v>
      </c>
      <c r="E51" s="312">
        <v>15</v>
      </c>
      <c r="F51" s="313">
        <v>48</v>
      </c>
      <c r="G51" s="312">
        <v>70</v>
      </c>
      <c r="H51" s="312">
        <v>143</v>
      </c>
      <c r="J51" s="280"/>
      <c r="K51" s="282">
        <v>2015</v>
      </c>
      <c r="L51" s="312">
        <v>54</v>
      </c>
      <c r="N51" s="314"/>
    </row>
    <row r="52" spans="1:14" hidden="1" outlineLevel="1" x14ac:dyDescent="0.25">
      <c r="A52" s="277"/>
      <c r="B52" s="311">
        <v>2028</v>
      </c>
      <c r="C52" s="273" t="s">
        <v>209</v>
      </c>
      <c r="D52" s="273">
        <v>2007</v>
      </c>
      <c r="E52" s="312">
        <v>15</v>
      </c>
      <c r="F52" s="313">
        <v>49</v>
      </c>
      <c r="G52" s="312">
        <v>71</v>
      </c>
      <c r="H52" s="312">
        <v>146</v>
      </c>
      <c r="J52" s="280"/>
      <c r="K52" s="282">
        <v>2015</v>
      </c>
      <c r="L52" s="312">
        <v>55</v>
      </c>
      <c r="N52" s="314"/>
    </row>
    <row r="53" spans="1:14" hidden="1" outlineLevel="1" x14ac:dyDescent="0.25">
      <c r="A53" s="277"/>
      <c r="B53" s="311">
        <v>2029</v>
      </c>
      <c r="C53" s="273" t="s">
        <v>209</v>
      </c>
      <c r="D53" s="273">
        <v>2007</v>
      </c>
      <c r="E53" s="312">
        <v>15</v>
      </c>
      <c r="F53" s="313">
        <v>49</v>
      </c>
      <c r="G53" s="312">
        <v>72</v>
      </c>
      <c r="H53" s="312">
        <v>149</v>
      </c>
      <c r="J53" s="280"/>
      <c r="K53" s="282">
        <v>2015</v>
      </c>
      <c r="L53" s="312">
        <v>55</v>
      </c>
      <c r="N53" s="314"/>
    </row>
    <row r="54" spans="1:14" hidden="1" outlineLevel="1" x14ac:dyDescent="0.25">
      <c r="A54" s="277"/>
      <c r="B54" s="311">
        <v>2030</v>
      </c>
      <c r="C54" s="273" t="s">
        <v>209</v>
      </c>
      <c r="D54" s="273">
        <v>2007</v>
      </c>
      <c r="E54" s="312">
        <v>16</v>
      </c>
      <c r="F54" s="313">
        <v>50</v>
      </c>
      <c r="G54" s="312">
        <v>73</v>
      </c>
      <c r="H54" s="312">
        <v>152</v>
      </c>
      <c r="J54" s="280"/>
      <c r="K54" s="282">
        <v>2015</v>
      </c>
      <c r="L54" s="312">
        <v>57</v>
      </c>
      <c r="N54" s="314"/>
    </row>
    <row r="55" spans="1:14" hidden="1" outlineLevel="1" x14ac:dyDescent="0.25">
      <c r="A55" s="277"/>
      <c r="B55" s="311">
        <v>2031</v>
      </c>
      <c r="C55" s="273" t="s">
        <v>209</v>
      </c>
      <c r="D55" s="273">
        <v>2007</v>
      </c>
      <c r="E55" s="312">
        <v>16</v>
      </c>
      <c r="F55" s="313">
        <v>51</v>
      </c>
      <c r="G55" s="312">
        <v>74</v>
      </c>
      <c r="H55" s="312">
        <v>155</v>
      </c>
      <c r="J55" s="280"/>
      <c r="K55" s="282">
        <v>2015</v>
      </c>
      <c r="L55" s="312">
        <v>58</v>
      </c>
      <c r="N55" s="314"/>
    </row>
    <row r="56" spans="1:14" hidden="1" outlineLevel="1" x14ac:dyDescent="0.25">
      <c r="A56" s="277"/>
      <c r="B56" s="311">
        <v>2032</v>
      </c>
      <c r="C56" s="273" t="s">
        <v>209</v>
      </c>
      <c r="D56" s="273">
        <v>2007</v>
      </c>
      <c r="E56" s="312">
        <v>17</v>
      </c>
      <c r="F56" s="313">
        <v>52</v>
      </c>
      <c r="G56" s="312">
        <v>75</v>
      </c>
      <c r="H56" s="312">
        <v>158</v>
      </c>
      <c r="J56" s="280"/>
      <c r="K56" s="282">
        <v>2015</v>
      </c>
      <c r="L56" s="312">
        <v>59</v>
      </c>
      <c r="N56" s="314"/>
    </row>
    <row r="57" spans="1:14" hidden="1" outlineLevel="1" x14ac:dyDescent="0.25">
      <c r="A57" s="277"/>
      <c r="B57" s="311">
        <v>2033</v>
      </c>
      <c r="C57" s="273" t="s">
        <v>209</v>
      </c>
      <c r="D57" s="273">
        <v>2007</v>
      </c>
      <c r="E57" s="312">
        <v>17</v>
      </c>
      <c r="F57" s="313">
        <v>53</v>
      </c>
      <c r="G57" s="312">
        <v>76</v>
      </c>
      <c r="H57" s="312">
        <v>161</v>
      </c>
      <c r="J57" s="280"/>
      <c r="K57" s="282">
        <v>2015</v>
      </c>
      <c r="L57" s="312">
        <v>60</v>
      </c>
      <c r="N57" s="314"/>
    </row>
    <row r="58" spans="1:14" hidden="1" outlineLevel="1" x14ac:dyDescent="0.25">
      <c r="A58" s="277"/>
      <c r="B58" s="311">
        <v>2034</v>
      </c>
      <c r="C58" s="273" t="s">
        <v>209</v>
      </c>
      <c r="D58" s="273">
        <v>2007</v>
      </c>
      <c r="E58" s="312">
        <v>18</v>
      </c>
      <c r="F58" s="313">
        <v>54</v>
      </c>
      <c r="G58" s="312">
        <v>77</v>
      </c>
      <c r="H58" s="312">
        <v>164</v>
      </c>
      <c r="J58" s="280"/>
      <c r="K58" s="282">
        <v>2015</v>
      </c>
      <c r="L58" s="312">
        <v>61</v>
      </c>
      <c r="N58" s="314"/>
    </row>
    <row r="59" spans="1:14" hidden="1" outlineLevel="1" x14ac:dyDescent="0.25">
      <c r="A59" s="277"/>
      <c r="B59" s="311">
        <v>2035</v>
      </c>
      <c r="C59" s="273" t="s">
        <v>209</v>
      </c>
      <c r="D59" s="273">
        <v>2007</v>
      </c>
      <c r="E59" s="312">
        <v>18</v>
      </c>
      <c r="F59" s="313">
        <v>55</v>
      </c>
      <c r="G59" s="312">
        <v>78</v>
      </c>
      <c r="H59" s="312">
        <v>168</v>
      </c>
      <c r="J59" s="280"/>
      <c r="K59" s="282">
        <v>2015</v>
      </c>
      <c r="L59" s="312">
        <v>62</v>
      </c>
      <c r="N59" s="314"/>
    </row>
    <row r="60" spans="1:14" hidden="1" outlineLevel="1" x14ac:dyDescent="0.25">
      <c r="A60" s="277"/>
      <c r="B60" s="311">
        <v>2036</v>
      </c>
      <c r="C60" s="273" t="s">
        <v>209</v>
      </c>
      <c r="D60" s="273">
        <v>2007</v>
      </c>
      <c r="E60" s="312">
        <v>19</v>
      </c>
      <c r="F60" s="313">
        <v>56</v>
      </c>
      <c r="G60" s="312">
        <v>79</v>
      </c>
      <c r="H60" s="312">
        <v>171</v>
      </c>
      <c r="J60" s="280"/>
      <c r="K60" s="282">
        <v>2015</v>
      </c>
      <c r="L60" s="312">
        <v>63</v>
      </c>
      <c r="N60" s="314"/>
    </row>
    <row r="61" spans="1:14" hidden="1" outlineLevel="1" x14ac:dyDescent="0.25">
      <c r="A61" s="277"/>
      <c r="B61" s="311">
        <v>2037</v>
      </c>
      <c r="C61" s="273" t="s">
        <v>209</v>
      </c>
      <c r="D61" s="273">
        <v>2007</v>
      </c>
      <c r="E61" s="312">
        <v>19</v>
      </c>
      <c r="F61" s="313">
        <v>57</v>
      </c>
      <c r="G61" s="312">
        <v>81</v>
      </c>
      <c r="H61" s="312">
        <v>174</v>
      </c>
      <c r="J61" s="280"/>
      <c r="K61" s="282">
        <v>2015</v>
      </c>
      <c r="L61" s="312">
        <v>64</v>
      </c>
      <c r="N61" s="314"/>
    </row>
    <row r="62" spans="1:14" hidden="1" outlineLevel="1" x14ac:dyDescent="0.25">
      <c r="A62" s="277"/>
      <c r="B62" s="311">
        <v>2038</v>
      </c>
      <c r="C62" s="273" t="s">
        <v>209</v>
      </c>
      <c r="D62" s="273">
        <v>2007</v>
      </c>
      <c r="E62" s="312">
        <v>20</v>
      </c>
      <c r="F62" s="313">
        <v>58</v>
      </c>
      <c r="G62" s="312">
        <v>82</v>
      </c>
      <c r="H62" s="312">
        <v>177</v>
      </c>
      <c r="J62" s="280"/>
      <c r="K62" s="282">
        <v>2015</v>
      </c>
      <c r="L62" s="312">
        <v>66</v>
      </c>
      <c r="N62" s="314"/>
    </row>
    <row r="63" spans="1:14" hidden="1" outlineLevel="1" x14ac:dyDescent="0.25">
      <c r="A63" s="277"/>
      <c r="B63" s="311">
        <v>2039</v>
      </c>
      <c r="C63" s="273" t="s">
        <v>209</v>
      </c>
      <c r="D63" s="273">
        <v>2007</v>
      </c>
      <c r="E63" s="312">
        <v>20</v>
      </c>
      <c r="F63" s="313">
        <v>59</v>
      </c>
      <c r="G63" s="312">
        <v>83</v>
      </c>
      <c r="H63" s="312">
        <v>180</v>
      </c>
      <c r="J63" s="280"/>
      <c r="K63" s="282">
        <v>2015</v>
      </c>
      <c r="L63" s="312">
        <v>67</v>
      </c>
      <c r="N63" s="314"/>
    </row>
    <row r="64" spans="1:14" hidden="1" outlineLevel="1" x14ac:dyDescent="0.25">
      <c r="A64" s="277"/>
      <c r="B64" s="311">
        <v>2040</v>
      </c>
      <c r="C64" s="273" t="s">
        <v>209</v>
      </c>
      <c r="D64" s="273">
        <v>2007</v>
      </c>
      <c r="E64" s="312">
        <v>21</v>
      </c>
      <c r="F64" s="313">
        <v>60</v>
      </c>
      <c r="G64" s="312">
        <v>84</v>
      </c>
      <c r="H64" s="312">
        <v>183</v>
      </c>
      <c r="J64" s="280"/>
      <c r="K64" s="282">
        <v>2015</v>
      </c>
      <c r="L64" s="312">
        <v>68</v>
      </c>
      <c r="N64" s="314"/>
    </row>
    <row r="65" spans="1:14" hidden="1" outlineLevel="1" x14ac:dyDescent="0.25">
      <c r="A65" s="277"/>
      <c r="B65" s="311">
        <v>2041</v>
      </c>
      <c r="C65" s="273" t="s">
        <v>209</v>
      </c>
      <c r="D65" s="273">
        <v>2007</v>
      </c>
      <c r="E65" s="312">
        <v>21</v>
      </c>
      <c r="F65" s="313">
        <v>61</v>
      </c>
      <c r="G65" s="312">
        <v>85</v>
      </c>
      <c r="H65" s="312">
        <v>186</v>
      </c>
      <c r="J65" s="280"/>
      <c r="K65" s="282">
        <v>2015</v>
      </c>
      <c r="L65" s="312">
        <v>69</v>
      </c>
      <c r="N65" s="314"/>
    </row>
    <row r="66" spans="1:14" hidden="1" outlineLevel="1" x14ac:dyDescent="0.25">
      <c r="A66" s="277"/>
      <c r="B66" s="311">
        <v>2042</v>
      </c>
      <c r="C66" s="273" t="s">
        <v>209</v>
      </c>
      <c r="D66" s="273">
        <v>2007</v>
      </c>
      <c r="E66" s="312">
        <v>22</v>
      </c>
      <c r="F66" s="313">
        <v>61</v>
      </c>
      <c r="G66" s="312">
        <v>86</v>
      </c>
      <c r="H66" s="312">
        <v>189</v>
      </c>
      <c r="J66" s="280"/>
      <c r="K66" s="282">
        <v>2015</v>
      </c>
      <c r="L66" s="312">
        <v>69</v>
      </c>
      <c r="N66" s="314"/>
    </row>
    <row r="67" spans="1:14" hidden="1" outlineLevel="1" x14ac:dyDescent="0.25">
      <c r="A67" s="277"/>
      <c r="B67" s="311">
        <v>2043</v>
      </c>
      <c r="C67" s="273" t="s">
        <v>209</v>
      </c>
      <c r="D67" s="273">
        <v>2007</v>
      </c>
      <c r="E67" s="312">
        <v>22</v>
      </c>
      <c r="F67" s="313">
        <v>62</v>
      </c>
      <c r="G67" s="312">
        <v>87</v>
      </c>
      <c r="H67" s="312">
        <v>192</v>
      </c>
      <c r="J67" s="280"/>
      <c r="K67" s="282">
        <v>2015</v>
      </c>
      <c r="L67" s="312">
        <v>70</v>
      </c>
      <c r="N67" s="314"/>
    </row>
    <row r="68" spans="1:14" hidden="1" outlineLevel="1" x14ac:dyDescent="0.25">
      <c r="A68" s="277"/>
      <c r="B68" s="311">
        <v>2044</v>
      </c>
      <c r="C68" s="273" t="s">
        <v>209</v>
      </c>
      <c r="D68" s="273">
        <v>2007</v>
      </c>
      <c r="E68" s="312">
        <v>23</v>
      </c>
      <c r="F68" s="313">
        <v>63</v>
      </c>
      <c r="G68" s="312">
        <v>88</v>
      </c>
      <c r="H68" s="312">
        <v>194</v>
      </c>
      <c r="J68" s="280"/>
      <c r="K68" s="282">
        <v>2015</v>
      </c>
      <c r="L68" s="312">
        <v>71</v>
      </c>
      <c r="N68" s="314"/>
    </row>
    <row r="69" spans="1:14" hidden="1" outlineLevel="1" x14ac:dyDescent="0.25">
      <c r="A69" s="277"/>
      <c r="B69" s="311">
        <v>2045</v>
      </c>
      <c r="C69" s="273" t="s">
        <v>209</v>
      </c>
      <c r="D69" s="273">
        <v>2007</v>
      </c>
      <c r="E69" s="312">
        <v>23</v>
      </c>
      <c r="F69" s="313">
        <v>64</v>
      </c>
      <c r="G69" s="312">
        <v>89</v>
      </c>
      <c r="H69" s="312">
        <v>197</v>
      </c>
      <c r="J69" s="280"/>
      <c r="K69" s="282">
        <v>2015</v>
      </c>
      <c r="L69" s="312">
        <v>72</v>
      </c>
      <c r="N69" s="314"/>
    </row>
    <row r="70" spans="1:14" hidden="1" outlineLevel="1" x14ac:dyDescent="0.25">
      <c r="A70" s="277"/>
      <c r="B70" s="311">
        <v>2046</v>
      </c>
      <c r="C70" s="273" t="s">
        <v>209</v>
      </c>
      <c r="D70" s="273">
        <v>2007</v>
      </c>
      <c r="E70" s="312">
        <v>24</v>
      </c>
      <c r="F70" s="313">
        <v>65</v>
      </c>
      <c r="G70" s="312">
        <v>90</v>
      </c>
      <c r="H70" s="312">
        <v>200</v>
      </c>
      <c r="J70" s="280"/>
      <c r="K70" s="282">
        <v>2015</v>
      </c>
      <c r="L70" s="312">
        <v>73</v>
      </c>
      <c r="N70" s="314"/>
    </row>
    <row r="71" spans="1:14" hidden="1" outlineLevel="1" x14ac:dyDescent="0.25">
      <c r="A71" s="277"/>
      <c r="B71" s="311">
        <v>2047</v>
      </c>
      <c r="C71" s="273" t="s">
        <v>209</v>
      </c>
      <c r="D71" s="273">
        <v>2007</v>
      </c>
      <c r="E71" s="312">
        <v>24</v>
      </c>
      <c r="F71" s="313">
        <v>66</v>
      </c>
      <c r="G71" s="312">
        <v>92</v>
      </c>
      <c r="H71" s="312">
        <v>203</v>
      </c>
      <c r="J71" s="280"/>
      <c r="K71" s="282">
        <v>2015</v>
      </c>
      <c r="L71" s="312">
        <v>75</v>
      </c>
      <c r="N71" s="314"/>
    </row>
    <row r="72" spans="1:14" hidden="1" outlineLevel="1" x14ac:dyDescent="0.25">
      <c r="A72" s="277"/>
      <c r="B72" s="311">
        <v>2048</v>
      </c>
      <c r="C72" s="273" t="s">
        <v>209</v>
      </c>
      <c r="D72" s="273">
        <v>2007</v>
      </c>
      <c r="E72" s="312">
        <v>25</v>
      </c>
      <c r="F72" s="313">
        <v>67</v>
      </c>
      <c r="G72" s="312">
        <v>93</v>
      </c>
      <c r="H72" s="312">
        <v>206</v>
      </c>
      <c r="J72" s="280"/>
      <c r="K72" s="282">
        <v>2015</v>
      </c>
      <c r="L72" s="312">
        <v>76</v>
      </c>
      <c r="N72" s="314"/>
    </row>
    <row r="73" spans="1:14" hidden="1" outlineLevel="1" x14ac:dyDescent="0.25">
      <c r="A73" s="277"/>
      <c r="B73" s="311">
        <v>2049</v>
      </c>
      <c r="C73" s="273" t="s">
        <v>209</v>
      </c>
      <c r="D73" s="273">
        <v>2007</v>
      </c>
      <c r="E73" s="312">
        <v>25</v>
      </c>
      <c r="F73" s="313">
        <v>68</v>
      </c>
      <c r="G73" s="312">
        <v>94</v>
      </c>
      <c r="H73" s="312">
        <v>209</v>
      </c>
      <c r="J73" s="280"/>
      <c r="K73" s="282">
        <v>2015</v>
      </c>
      <c r="L73" s="312">
        <v>77</v>
      </c>
      <c r="N73" s="314"/>
    </row>
    <row r="74" spans="1:14" hidden="1" outlineLevel="1" x14ac:dyDescent="0.25">
      <c r="A74" s="277"/>
      <c r="B74" s="311">
        <v>2050</v>
      </c>
      <c r="C74" s="273" t="s">
        <v>209</v>
      </c>
      <c r="D74" s="273">
        <v>2007</v>
      </c>
      <c r="E74" s="312">
        <v>26</v>
      </c>
      <c r="F74" s="313">
        <v>69</v>
      </c>
      <c r="G74" s="312">
        <v>95</v>
      </c>
      <c r="H74" s="312">
        <v>212</v>
      </c>
      <c r="J74" s="280"/>
      <c r="K74" s="282">
        <v>2015</v>
      </c>
      <c r="L74" s="312">
        <v>78</v>
      </c>
      <c r="N74" s="314"/>
    </row>
    <row r="75" spans="1:14" hidden="1" outlineLevel="1" x14ac:dyDescent="0.25">
      <c r="A75" s="277"/>
    </row>
    <row r="76" spans="1:14" hidden="1" outlineLevel="1" x14ac:dyDescent="0.25">
      <c r="A76" s="277"/>
      <c r="B76" s="249" t="s">
        <v>242</v>
      </c>
    </row>
    <row r="77" spans="1:14" hidden="1" outlineLevel="1" x14ac:dyDescent="0.25">
      <c r="A77" s="277"/>
      <c r="B77" s="250" t="s">
        <v>243</v>
      </c>
    </row>
    <row r="78" spans="1:14" hidden="1" outlineLevel="1" x14ac:dyDescent="0.25"/>
    <row r="79" spans="1:14" s="315" customFormat="1" ht="11.3" customHeight="1" collapsed="1" x14ac:dyDescent="0.25">
      <c r="B79" s="316" t="s">
        <v>81</v>
      </c>
    </row>
    <row r="80" spans="1:14" s="315" customFormat="1" ht="11.3" customHeight="1" x14ac:dyDescent="0.25">
      <c r="B80" s="316"/>
    </row>
    <row r="81" spans="2:12" x14ac:dyDescent="0.25">
      <c r="B81" s="272"/>
    </row>
    <row r="82" spans="2:12" x14ac:dyDescent="0.25">
      <c r="B82" s="269" t="s">
        <v>213</v>
      </c>
      <c r="C82" s="273" t="s">
        <v>209</v>
      </c>
      <c r="D82" s="251">
        <v>2017</v>
      </c>
      <c r="E82" s="317">
        <f>G82/$L$85</f>
        <v>2204.6227190559985</v>
      </c>
      <c r="F82" s="318"/>
      <c r="G82" s="319">
        <v>2000</v>
      </c>
      <c r="H82" s="320" t="s">
        <v>244</v>
      </c>
      <c r="I82" s="269" t="s">
        <v>245</v>
      </c>
    </row>
    <row r="83" spans="2:12" x14ac:dyDescent="0.25">
      <c r="B83" s="269" t="s">
        <v>214</v>
      </c>
      <c r="C83" s="273" t="s">
        <v>209</v>
      </c>
      <c r="D83" s="251">
        <v>2017</v>
      </c>
      <c r="E83" s="321">
        <f>G83/$L$85</f>
        <v>9149.1842840823938</v>
      </c>
      <c r="F83" s="318"/>
      <c r="G83" s="322">
        <v>8300</v>
      </c>
      <c r="H83" s="323" t="s">
        <v>244</v>
      </c>
      <c r="I83" s="269" t="s">
        <v>246</v>
      </c>
    </row>
    <row r="84" spans="2:12" x14ac:dyDescent="0.25">
      <c r="B84" s="269" t="s">
        <v>247</v>
      </c>
      <c r="C84" s="273" t="s">
        <v>209</v>
      </c>
      <c r="D84" s="251">
        <v>2017</v>
      </c>
      <c r="E84" s="321">
        <f>G84/$L$85</f>
        <v>416453.23162967811</v>
      </c>
      <c r="F84" s="318"/>
      <c r="G84" s="322">
        <v>377800</v>
      </c>
      <c r="H84" s="323" t="s">
        <v>244</v>
      </c>
      <c r="I84" s="269" t="s">
        <v>248</v>
      </c>
    </row>
    <row r="85" spans="2:12" x14ac:dyDescent="0.2">
      <c r="B85" s="269" t="s">
        <v>216</v>
      </c>
      <c r="C85" s="273" t="s">
        <v>209</v>
      </c>
      <c r="D85" s="251">
        <v>2017</v>
      </c>
      <c r="E85" s="321">
        <f>G85/$L$85</f>
        <v>53903.025480919161</v>
      </c>
      <c r="F85" s="318"/>
      <c r="G85" s="322">
        <v>48900</v>
      </c>
      <c r="H85" s="323" t="s">
        <v>244</v>
      </c>
      <c r="J85" s="324" t="s">
        <v>249</v>
      </c>
      <c r="K85" s="325"/>
      <c r="L85" s="326">
        <v>0.90718469999999996</v>
      </c>
    </row>
    <row r="86" spans="2:12" x14ac:dyDescent="0.25">
      <c r="B86" s="269" t="s">
        <v>208</v>
      </c>
      <c r="C86" s="273" t="s">
        <v>209</v>
      </c>
      <c r="D86" s="251">
        <v>2017</v>
      </c>
      <c r="E86" s="327">
        <f>G86/$L$85</f>
        <v>0</v>
      </c>
      <c r="F86" s="328" t="s">
        <v>210</v>
      </c>
      <c r="G86" s="329">
        <v>0</v>
      </c>
      <c r="H86" s="330" t="s">
        <v>244</v>
      </c>
    </row>
    <row r="87" spans="2:12" x14ac:dyDescent="0.25">
      <c r="C87" s="273"/>
      <c r="D87" s="251"/>
      <c r="E87" s="331"/>
      <c r="G87" s="332"/>
      <c r="H87" s="333"/>
    </row>
    <row r="88" spans="2:12" x14ac:dyDescent="0.25">
      <c r="B88" s="1257" t="s">
        <v>250</v>
      </c>
      <c r="C88" s="1258" t="s">
        <v>251</v>
      </c>
      <c r="D88" s="269">
        <v>2017</v>
      </c>
      <c r="E88" s="334">
        <v>1</v>
      </c>
      <c r="G88" s="335">
        <f t="shared" ref="G88:G95" si="2">E88*$L$85</f>
        <v>0.90718469999999996</v>
      </c>
      <c r="H88" s="1259" t="s">
        <v>244</v>
      </c>
      <c r="I88" s="269" t="s">
        <v>245</v>
      </c>
    </row>
    <row r="89" spans="2:12" x14ac:dyDescent="0.25">
      <c r="B89" s="1257"/>
      <c r="C89" s="1258"/>
      <c r="D89" s="269">
        <v>2020</v>
      </c>
      <c r="E89" s="336">
        <v>1</v>
      </c>
      <c r="G89" s="337">
        <f t="shared" si="2"/>
        <v>0.90718469999999996</v>
      </c>
      <c r="H89" s="1260"/>
      <c r="I89" s="269" t="s">
        <v>246</v>
      </c>
    </row>
    <row r="90" spans="2:12" x14ac:dyDescent="0.25">
      <c r="B90" s="1257"/>
      <c r="C90" s="1258"/>
      <c r="D90" s="269">
        <v>2025</v>
      </c>
      <c r="E90" s="336">
        <v>1</v>
      </c>
      <c r="G90" s="337">
        <f t="shared" si="2"/>
        <v>0.90718469999999996</v>
      </c>
      <c r="H90" s="1260"/>
      <c r="I90" s="269" t="s">
        <v>248</v>
      </c>
    </row>
    <row r="91" spans="2:12" x14ac:dyDescent="0.25">
      <c r="B91" s="1257"/>
      <c r="C91" s="1258"/>
      <c r="D91" s="269">
        <v>2030</v>
      </c>
      <c r="E91" s="336">
        <v>1</v>
      </c>
      <c r="G91" s="337">
        <f t="shared" si="2"/>
        <v>0.90718469999999996</v>
      </c>
      <c r="H91" s="1260"/>
    </row>
    <row r="92" spans="2:12" x14ac:dyDescent="0.25">
      <c r="B92" s="1257"/>
      <c r="C92" s="1258"/>
      <c r="D92" s="269">
        <v>2035</v>
      </c>
      <c r="E92" s="336">
        <v>2</v>
      </c>
      <c r="G92" s="337">
        <f t="shared" si="2"/>
        <v>1.8143693999999999</v>
      </c>
      <c r="H92" s="1260"/>
    </row>
    <row r="93" spans="2:12" x14ac:dyDescent="0.25">
      <c r="B93" s="1257"/>
      <c r="C93" s="1258"/>
      <c r="D93" s="269">
        <v>2040</v>
      </c>
      <c r="E93" s="336">
        <v>2</v>
      </c>
      <c r="G93" s="337">
        <f t="shared" si="2"/>
        <v>1.8143693999999999</v>
      </c>
      <c r="H93" s="1260"/>
    </row>
    <row r="94" spans="2:12" x14ac:dyDescent="0.25">
      <c r="B94" s="1257"/>
      <c r="C94" s="1258"/>
      <c r="D94" s="269">
        <v>2045</v>
      </c>
      <c r="E94" s="336">
        <v>2</v>
      </c>
      <c r="G94" s="337">
        <f t="shared" si="2"/>
        <v>1.8143693999999999</v>
      </c>
      <c r="H94" s="1260"/>
    </row>
    <row r="95" spans="2:12" x14ac:dyDescent="0.25">
      <c r="B95" s="1257"/>
      <c r="C95" s="1258"/>
      <c r="D95" s="269">
        <v>2050</v>
      </c>
      <c r="E95" s="338">
        <v>2</v>
      </c>
      <c r="G95" s="339">
        <f t="shared" si="2"/>
        <v>1.8143693999999999</v>
      </c>
      <c r="H95" s="1261"/>
    </row>
    <row r="96" spans="2:12" x14ac:dyDescent="0.25">
      <c r="C96" s="273"/>
      <c r="D96" s="251"/>
      <c r="E96" s="331"/>
      <c r="G96" s="332"/>
      <c r="H96" s="333"/>
    </row>
    <row r="97" spans="2:8" x14ac:dyDescent="0.25">
      <c r="B97" s="272" t="s">
        <v>252</v>
      </c>
      <c r="C97" s="273"/>
      <c r="D97" s="251"/>
      <c r="E97" s="331"/>
      <c r="G97" s="332"/>
      <c r="H97" s="333"/>
    </row>
    <row r="98" spans="2:8" x14ac:dyDescent="0.25">
      <c r="B98" s="272" t="s">
        <v>253</v>
      </c>
      <c r="C98" s="1262" t="s">
        <v>251</v>
      </c>
      <c r="D98" s="340">
        <v>2017</v>
      </c>
      <c r="E98" s="341">
        <f>E88</f>
        <v>1</v>
      </c>
      <c r="G98" s="342">
        <f t="shared" ref="G98:G131" si="3">E98*$L$85</f>
        <v>0.90718469999999996</v>
      </c>
      <c r="H98" s="1259" t="s">
        <v>244</v>
      </c>
    </row>
    <row r="99" spans="2:8" x14ac:dyDescent="0.25">
      <c r="C99" s="1262"/>
      <c r="D99" s="340">
        <f>D98+1</f>
        <v>2018</v>
      </c>
      <c r="E99" s="341">
        <f>IF($D99&lt;=$D$89,TREND($E$88:$E$89,$D$88:$D$89,$D99),IF($D99&lt;=$D$90,TREND($E$89:$E$90,$D$89:$D$90,$D99),IF($D99&lt;=$D$91,TREND($E$90:$E$91,$D$90:$D$91,$D99),IF($D99&lt;=$D$92,TREND($E$91:$E$92,$D$91:$D$92,$D99),IF($D99&lt;=$D$93,TREND($E$92:$E$93,$D$92:$D$93,$D99),IF($D99&lt;=$D$94,TREND($E$93:$E$94,$D$93:$D$94,$D99),TREND($E$94:$E$95,$D$94:$D$95,$D99)))))))</f>
        <v>1</v>
      </c>
      <c r="G99" s="337">
        <f t="shared" si="3"/>
        <v>0.90718469999999996</v>
      </c>
      <c r="H99" s="1260"/>
    </row>
    <row r="100" spans="2:8" x14ac:dyDescent="0.25">
      <c r="C100" s="1262"/>
      <c r="D100" s="340">
        <f t="shared" ref="D100:D131" si="4">D99+1</f>
        <v>2019</v>
      </c>
      <c r="E100" s="341">
        <f t="shared" ref="E100:E131" si="5">IF($D100&lt;=$D$89,TREND($E$88:$E$89,$D$88:$D$89,$D100),IF($D100&lt;=$D$90,TREND($E$89:$E$90,$D$89:$D$90,$D100),IF($D100&lt;=$D$91,TREND($E$90:$E$91,$D$90:$D$91,$D100),IF($D100&lt;=$D$92,TREND($E$91:$E$92,$D$91:$D$92,$D100),IF($D100&lt;=$D$93,TREND($E$92:$E$93,$D$92:$D$93,$D100),IF($D100&lt;=$D$94,TREND($E$93:$E$94,$D$93:$D$94,$D100),TREND($E$94:$E$95,$D$94:$D$95,$D100)))))))</f>
        <v>1</v>
      </c>
      <c r="G100" s="337">
        <f t="shared" si="3"/>
        <v>0.90718469999999996</v>
      </c>
      <c r="H100" s="1260"/>
    </row>
    <row r="101" spans="2:8" x14ac:dyDescent="0.25">
      <c r="C101" s="1262"/>
      <c r="D101" s="340">
        <f t="shared" si="4"/>
        <v>2020</v>
      </c>
      <c r="E101" s="341">
        <f t="shared" si="5"/>
        <v>1</v>
      </c>
      <c r="G101" s="337">
        <f t="shared" si="3"/>
        <v>0.90718469999999996</v>
      </c>
      <c r="H101" s="1260"/>
    </row>
    <row r="102" spans="2:8" x14ac:dyDescent="0.25">
      <c r="C102" s="1262"/>
      <c r="D102" s="340">
        <f t="shared" si="4"/>
        <v>2021</v>
      </c>
      <c r="E102" s="341">
        <f t="shared" si="5"/>
        <v>1</v>
      </c>
      <c r="G102" s="337">
        <f t="shared" si="3"/>
        <v>0.90718469999999996</v>
      </c>
      <c r="H102" s="1260"/>
    </row>
    <row r="103" spans="2:8" x14ac:dyDescent="0.25">
      <c r="C103" s="1262"/>
      <c r="D103" s="340">
        <f t="shared" si="4"/>
        <v>2022</v>
      </c>
      <c r="E103" s="341">
        <f t="shared" si="5"/>
        <v>1</v>
      </c>
      <c r="G103" s="337">
        <f t="shared" si="3"/>
        <v>0.90718469999999996</v>
      </c>
      <c r="H103" s="1260"/>
    </row>
    <row r="104" spans="2:8" x14ac:dyDescent="0.25">
      <c r="C104" s="1262"/>
      <c r="D104" s="340">
        <f t="shared" si="4"/>
        <v>2023</v>
      </c>
      <c r="E104" s="341">
        <f t="shared" si="5"/>
        <v>1</v>
      </c>
      <c r="G104" s="337">
        <f t="shared" si="3"/>
        <v>0.90718469999999996</v>
      </c>
      <c r="H104" s="1260"/>
    </row>
    <row r="105" spans="2:8" x14ac:dyDescent="0.25">
      <c r="C105" s="1262"/>
      <c r="D105" s="340">
        <f t="shared" si="4"/>
        <v>2024</v>
      </c>
      <c r="E105" s="341">
        <f t="shared" si="5"/>
        <v>1</v>
      </c>
      <c r="G105" s="337">
        <f t="shared" si="3"/>
        <v>0.90718469999999996</v>
      </c>
      <c r="H105" s="1260"/>
    </row>
    <row r="106" spans="2:8" x14ac:dyDescent="0.25">
      <c r="C106" s="1262"/>
      <c r="D106" s="340">
        <f t="shared" si="4"/>
        <v>2025</v>
      </c>
      <c r="E106" s="341">
        <f t="shared" si="5"/>
        <v>1</v>
      </c>
      <c r="G106" s="337">
        <f t="shared" si="3"/>
        <v>0.90718469999999996</v>
      </c>
      <c r="H106" s="1260"/>
    </row>
    <row r="107" spans="2:8" x14ac:dyDescent="0.25">
      <c r="C107" s="1262"/>
      <c r="D107" s="340">
        <f t="shared" si="4"/>
        <v>2026</v>
      </c>
      <c r="E107" s="341">
        <f t="shared" si="5"/>
        <v>1</v>
      </c>
      <c r="G107" s="337">
        <f t="shared" si="3"/>
        <v>0.90718469999999996</v>
      </c>
      <c r="H107" s="1260"/>
    </row>
    <row r="108" spans="2:8" x14ac:dyDescent="0.25">
      <c r="C108" s="1262"/>
      <c r="D108" s="340">
        <f t="shared" si="4"/>
        <v>2027</v>
      </c>
      <c r="E108" s="341">
        <f t="shared" si="5"/>
        <v>1</v>
      </c>
      <c r="G108" s="337">
        <f t="shared" si="3"/>
        <v>0.90718469999999996</v>
      </c>
      <c r="H108" s="1260"/>
    </row>
    <row r="109" spans="2:8" x14ac:dyDescent="0.25">
      <c r="C109" s="1262"/>
      <c r="D109" s="340">
        <f t="shared" si="4"/>
        <v>2028</v>
      </c>
      <c r="E109" s="341">
        <f t="shared" si="5"/>
        <v>1</v>
      </c>
      <c r="G109" s="337">
        <f t="shared" si="3"/>
        <v>0.90718469999999996</v>
      </c>
      <c r="H109" s="1260"/>
    </row>
    <row r="110" spans="2:8" x14ac:dyDescent="0.25">
      <c r="C110" s="1262"/>
      <c r="D110" s="340">
        <f t="shared" si="4"/>
        <v>2029</v>
      </c>
      <c r="E110" s="341">
        <f t="shared" si="5"/>
        <v>1</v>
      </c>
      <c r="G110" s="337">
        <f t="shared" si="3"/>
        <v>0.90718469999999996</v>
      </c>
      <c r="H110" s="1260"/>
    </row>
    <row r="111" spans="2:8" x14ac:dyDescent="0.25">
      <c r="C111" s="1262"/>
      <c r="D111" s="340">
        <f t="shared" si="4"/>
        <v>2030</v>
      </c>
      <c r="E111" s="341">
        <f t="shared" si="5"/>
        <v>1</v>
      </c>
      <c r="G111" s="337">
        <f t="shared" si="3"/>
        <v>0.90718469999999996</v>
      </c>
      <c r="H111" s="1260"/>
    </row>
    <row r="112" spans="2:8" x14ac:dyDescent="0.25">
      <c r="C112" s="1262"/>
      <c r="D112" s="340">
        <f t="shared" si="4"/>
        <v>2031</v>
      </c>
      <c r="E112" s="341">
        <f t="shared" si="5"/>
        <v>1.2000000000000455</v>
      </c>
      <c r="G112" s="337">
        <f t="shared" si="3"/>
        <v>1.0886216400000412</v>
      </c>
      <c r="H112" s="1260"/>
    </row>
    <row r="113" spans="3:8" x14ac:dyDescent="0.25">
      <c r="C113" s="1262"/>
      <c r="D113" s="340">
        <f t="shared" si="4"/>
        <v>2032</v>
      </c>
      <c r="E113" s="341">
        <f t="shared" si="5"/>
        <v>1.4000000000000341</v>
      </c>
      <c r="G113" s="337">
        <f t="shared" si="3"/>
        <v>1.2700585800000308</v>
      </c>
      <c r="H113" s="1260"/>
    </row>
    <row r="114" spans="3:8" x14ac:dyDescent="0.25">
      <c r="C114" s="1262"/>
      <c r="D114" s="340">
        <f t="shared" si="4"/>
        <v>2033</v>
      </c>
      <c r="E114" s="341">
        <f t="shared" si="5"/>
        <v>1.6000000000000227</v>
      </c>
      <c r="G114" s="337">
        <f t="shared" si="3"/>
        <v>1.4514955200000206</v>
      </c>
      <c r="H114" s="1260"/>
    </row>
    <row r="115" spans="3:8" x14ac:dyDescent="0.25">
      <c r="C115" s="1262"/>
      <c r="D115" s="340">
        <f t="shared" si="4"/>
        <v>2034</v>
      </c>
      <c r="E115" s="341">
        <f t="shared" si="5"/>
        <v>1.8000000000000114</v>
      </c>
      <c r="G115" s="337">
        <f t="shared" si="3"/>
        <v>1.6329324600000101</v>
      </c>
      <c r="H115" s="1260"/>
    </row>
    <row r="116" spans="3:8" x14ac:dyDescent="0.25">
      <c r="C116" s="1262"/>
      <c r="D116" s="340">
        <f t="shared" si="4"/>
        <v>2035</v>
      </c>
      <c r="E116" s="341">
        <f t="shared" si="5"/>
        <v>2</v>
      </c>
      <c r="G116" s="337">
        <f t="shared" si="3"/>
        <v>1.8143693999999999</v>
      </c>
      <c r="H116" s="1260"/>
    </row>
    <row r="117" spans="3:8" x14ac:dyDescent="0.25">
      <c r="C117" s="1262"/>
      <c r="D117" s="340">
        <f t="shared" si="4"/>
        <v>2036</v>
      </c>
      <c r="E117" s="341">
        <f t="shared" si="5"/>
        <v>2</v>
      </c>
      <c r="G117" s="337">
        <f t="shared" si="3"/>
        <v>1.8143693999999999</v>
      </c>
      <c r="H117" s="1260"/>
    </row>
    <row r="118" spans="3:8" x14ac:dyDescent="0.25">
      <c r="C118" s="1262"/>
      <c r="D118" s="340">
        <f t="shared" si="4"/>
        <v>2037</v>
      </c>
      <c r="E118" s="341">
        <f t="shared" si="5"/>
        <v>2</v>
      </c>
      <c r="G118" s="337">
        <f t="shared" si="3"/>
        <v>1.8143693999999999</v>
      </c>
      <c r="H118" s="1260"/>
    </row>
    <row r="119" spans="3:8" x14ac:dyDescent="0.25">
      <c r="C119" s="1262"/>
      <c r="D119" s="340">
        <f t="shared" si="4"/>
        <v>2038</v>
      </c>
      <c r="E119" s="341">
        <f t="shared" si="5"/>
        <v>2</v>
      </c>
      <c r="G119" s="337">
        <f t="shared" si="3"/>
        <v>1.8143693999999999</v>
      </c>
      <c r="H119" s="1260"/>
    </row>
    <row r="120" spans="3:8" x14ac:dyDescent="0.25">
      <c r="C120" s="1262"/>
      <c r="D120" s="340">
        <f t="shared" si="4"/>
        <v>2039</v>
      </c>
      <c r="E120" s="341">
        <f t="shared" si="5"/>
        <v>2</v>
      </c>
      <c r="G120" s="337">
        <f t="shared" si="3"/>
        <v>1.8143693999999999</v>
      </c>
      <c r="H120" s="1260"/>
    </row>
    <row r="121" spans="3:8" x14ac:dyDescent="0.25">
      <c r="C121" s="1262"/>
      <c r="D121" s="340">
        <f t="shared" si="4"/>
        <v>2040</v>
      </c>
      <c r="E121" s="341">
        <f t="shared" si="5"/>
        <v>2</v>
      </c>
      <c r="G121" s="337">
        <f t="shared" si="3"/>
        <v>1.8143693999999999</v>
      </c>
      <c r="H121" s="1260"/>
    </row>
    <row r="122" spans="3:8" x14ac:dyDescent="0.25">
      <c r="C122" s="1262"/>
      <c r="D122" s="340">
        <f t="shared" si="4"/>
        <v>2041</v>
      </c>
      <c r="E122" s="341">
        <f t="shared" si="5"/>
        <v>2</v>
      </c>
      <c r="G122" s="337">
        <f t="shared" si="3"/>
        <v>1.8143693999999999</v>
      </c>
      <c r="H122" s="1260"/>
    </row>
    <row r="123" spans="3:8" x14ac:dyDescent="0.25">
      <c r="C123" s="1262"/>
      <c r="D123" s="340">
        <f t="shared" si="4"/>
        <v>2042</v>
      </c>
      <c r="E123" s="341">
        <f t="shared" si="5"/>
        <v>2</v>
      </c>
      <c r="G123" s="337">
        <f t="shared" si="3"/>
        <v>1.8143693999999999</v>
      </c>
      <c r="H123" s="1260"/>
    </row>
    <row r="124" spans="3:8" x14ac:dyDescent="0.25">
      <c r="C124" s="1262"/>
      <c r="D124" s="340">
        <f t="shared" si="4"/>
        <v>2043</v>
      </c>
      <c r="E124" s="341">
        <f t="shared" si="5"/>
        <v>2</v>
      </c>
      <c r="G124" s="337">
        <f t="shared" si="3"/>
        <v>1.8143693999999999</v>
      </c>
      <c r="H124" s="1260"/>
    </row>
    <row r="125" spans="3:8" x14ac:dyDescent="0.25">
      <c r="C125" s="1262"/>
      <c r="D125" s="340">
        <f t="shared" si="4"/>
        <v>2044</v>
      </c>
      <c r="E125" s="341">
        <f t="shared" si="5"/>
        <v>2</v>
      </c>
      <c r="G125" s="337">
        <f t="shared" si="3"/>
        <v>1.8143693999999999</v>
      </c>
      <c r="H125" s="1260"/>
    </row>
    <row r="126" spans="3:8" x14ac:dyDescent="0.25">
      <c r="C126" s="1262"/>
      <c r="D126" s="340">
        <f t="shared" si="4"/>
        <v>2045</v>
      </c>
      <c r="E126" s="341">
        <f t="shared" si="5"/>
        <v>2</v>
      </c>
      <c r="G126" s="337">
        <f t="shared" si="3"/>
        <v>1.8143693999999999</v>
      </c>
      <c r="H126" s="1260"/>
    </row>
    <row r="127" spans="3:8" x14ac:dyDescent="0.25">
      <c r="C127" s="1262"/>
      <c r="D127" s="340">
        <f t="shared" si="4"/>
        <v>2046</v>
      </c>
      <c r="E127" s="341">
        <f t="shared" si="5"/>
        <v>2</v>
      </c>
      <c r="G127" s="337">
        <f t="shared" si="3"/>
        <v>1.8143693999999999</v>
      </c>
      <c r="H127" s="1260"/>
    </row>
    <row r="128" spans="3:8" x14ac:dyDescent="0.25">
      <c r="C128" s="1262"/>
      <c r="D128" s="340">
        <f t="shared" si="4"/>
        <v>2047</v>
      </c>
      <c r="E128" s="341">
        <f t="shared" si="5"/>
        <v>2</v>
      </c>
      <c r="G128" s="337">
        <f t="shared" si="3"/>
        <v>1.8143693999999999</v>
      </c>
      <c r="H128" s="1260"/>
    </row>
    <row r="129" spans="2:8" x14ac:dyDescent="0.25">
      <c r="C129" s="1262"/>
      <c r="D129" s="340">
        <f t="shared" si="4"/>
        <v>2048</v>
      </c>
      <c r="E129" s="341">
        <f t="shared" si="5"/>
        <v>2</v>
      </c>
      <c r="G129" s="337">
        <f t="shared" si="3"/>
        <v>1.8143693999999999</v>
      </c>
      <c r="H129" s="1260"/>
    </row>
    <row r="130" spans="2:8" x14ac:dyDescent="0.25">
      <c r="C130" s="1262"/>
      <c r="D130" s="340">
        <f t="shared" si="4"/>
        <v>2049</v>
      </c>
      <c r="E130" s="341">
        <f t="shared" si="5"/>
        <v>2</v>
      </c>
      <c r="G130" s="337">
        <f t="shared" si="3"/>
        <v>1.8143693999999999</v>
      </c>
      <c r="H130" s="1260"/>
    </row>
    <row r="131" spans="2:8" x14ac:dyDescent="0.25">
      <c r="C131" s="1262"/>
      <c r="D131" s="340">
        <f t="shared" si="4"/>
        <v>2050</v>
      </c>
      <c r="E131" s="341">
        <f t="shared" si="5"/>
        <v>2</v>
      </c>
      <c r="G131" s="339">
        <f t="shared" si="3"/>
        <v>1.8143693999999999</v>
      </c>
      <c r="H131" s="1261"/>
    </row>
    <row r="132" spans="2:8" x14ac:dyDescent="0.25">
      <c r="C132" s="273"/>
      <c r="D132" s="251"/>
      <c r="E132" s="331"/>
      <c r="G132" s="332"/>
      <c r="H132" s="333"/>
    </row>
    <row r="133" spans="2:8" s="245" customFormat="1" x14ac:dyDescent="0.25">
      <c r="B133" s="244" t="s">
        <v>110</v>
      </c>
    </row>
    <row r="135" spans="2:8" x14ac:dyDescent="0.25">
      <c r="B135" s="263" t="s">
        <v>254</v>
      </c>
    </row>
    <row r="136" spans="2:8" x14ac:dyDescent="0.25">
      <c r="B136" s="263"/>
    </row>
    <row r="137" spans="2:8" x14ac:dyDescent="0.25">
      <c r="B137" s="263" t="s">
        <v>255</v>
      </c>
    </row>
    <row r="138" spans="2:8" x14ac:dyDescent="0.25">
      <c r="B138" s="263" t="s">
        <v>256</v>
      </c>
    </row>
    <row r="139" spans="2:8" x14ac:dyDescent="0.25">
      <c r="B139" s="263" t="s">
        <v>257</v>
      </c>
    </row>
    <row r="140" spans="2:8" x14ac:dyDescent="0.25">
      <c r="B140" s="263"/>
    </row>
    <row r="141" spans="2:8" x14ac:dyDescent="0.25">
      <c r="B141" s="343" t="s">
        <v>109</v>
      </c>
    </row>
    <row r="142" spans="2:8" x14ac:dyDescent="0.25">
      <c r="B142" s="263"/>
    </row>
  </sheetData>
  <mergeCells count="12">
    <mergeCell ref="M34:M39"/>
    <mergeCell ref="B88:B95"/>
    <mergeCell ref="C88:C95"/>
    <mergeCell ref="H88:H95"/>
    <mergeCell ref="C98:C131"/>
    <mergeCell ref="H98:H131"/>
    <mergeCell ref="I6:I10"/>
    <mergeCell ref="J6:J10"/>
    <mergeCell ref="I26:I29"/>
    <mergeCell ref="J26:J29"/>
    <mergeCell ref="I34:I39"/>
    <mergeCell ref="J34:J39"/>
  </mergeCells>
  <hyperlinks>
    <hyperlink ref="J15" r:id="rId1"/>
    <hyperlink ref="J6" r:id="rId2"/>
    <hyperlink ref="J34" r:id="rId3"/>
    <hyperlink ref="J26" r:id="rId4"/>
    <hyperlink ref="J21" r:id="rId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O98"/>
  <sheetViews>
    <sheetView workbookViewId="0"/>
  </sheetViews>
  <sheetFormatPr defaultColWidth="9.77734375" defaultRowHeight="10.5" x14ac:dyDescent="0.2"/>
  <cols>
    <col min="1" max="1" width="1" style="346" customWidth="1"/>
    <col min="2" max="2" width="20.21875" style="346" customWidth="1"/>
    <col min="3" max="8" width="13.6640625" style="346" customWidth="1"/>
    <col min="9" max="9" width="9.77734375" style="346" customWidth="1"/>
    <col min="10" max="15" width="13.6640625" style="346" customWidth="1"/>
    <col min="16" max="16384" width="9.77734375" style="346"/>
  </cols>
  <sheetData>
    <row r="1" spans="1:15" s="245" customFormat="1" ht="13.1" x14ac:dyDescent="0.25">
      <c r="A1" s="243" t="s">
        <v>258</v>
      </c>
      <c r="B1" s="244"/>
      <c r="C1" s="284"/>
      <c r="D1" s="284"/>
      <c r="E1" s="284"/>
      <c r="F1" s="284"/>
      <c r="G1" s="284"/>
      <c r="H1" s="344"/>
      <c r="I1" s="344"/>
    </row>
    <row r="3" spans="1:15" s="245" customFormat="1" x14ac:dyDescent="0.25">
      <c r="A3" s="244"/>
      <c r="B3" s="244" t="s">
        <v>526</v>
      </c>
      <c r="C3" s="345"/>
      <c r="D3" s="284"/>
      <c r="E3" s="284"/>
      <c r="F3" s="284"/>
      <c r="G3" s="284"/>
      <c r="H3" s="344"/>
      <c r="I3" s="344"/>
    </row>
    <row r="4" spans="1:15" s="245" customFormat="1" ht="11.3" customHeight="1" x14ac:dyDescent="0.25">
      <c r="A4" s="244"/>
      <c r="B4" s="244" t="s">
        <v>259</v>
      </c>
      <c r="C4" s="345"/>
      <c r="D4" s="284"/>
      <c r="E4" s="284"/>
      <c r="F4" s="284"/>
      <c r="G4" s="284"/>
      <c r="H4" s="344"/>
      <c r="I4" s="344"/>
      <c r="J4" s="244" t="s">
        <v>260</v>
      </c>
    </row>
    <row r="5" spans="1:15" x14ac:dyDescent="0.2">
      <c r="B5" s="347"/>
      <c r="C5" s="348"/>
      <c r="D5" s="348"/>
      <c r="E5" s="348"/>
    </row>
    <row r="6" spans="1:15" ht="23.25" customHeight="1" x14ac:dyDescent="0.2">
      <c r="B6" s="1263" t="s">
        <v>238</v>
      </c>
      <c r="C6" s="1265" t="s">
        <v>527</v>
      </c>
      <c r="D6" s="1265"/>
      <c r="E6" s="1265"/>
      <c r="F6" s="1265" t="s">
        <v>528</v>
      </c>
      <c r="G6" s="1265"/>
      <c r="H6" s="1265"/>
      <c r="J6" s="1265" t="s">
        <v>529</v>
      </c>
      <c r="K6" s="1265"/>
      <c r="L6" s="1265"/>
      <c r="M6" s="1265" t="s">
        <v>530</v>
      </c>
      <c r="N6" s="1265"/>
      <c r="O6" s="1265"/>
    </row>
    <row r="7" spans="1:15" ht="20.95" x14ac:dyDescent="0.2">
      <c r="B7" s="1264"/>
      <c r="C7" s="349" t="s">
        <v>261</v>
      </c>
      <c r="D7" s="349" t="s">
        <v>262</v>
      </c>
      <c r="E7" s="349" t="s">
        <v>263</v>
      </c>
      <c r="F7" s="349" t="s">
        <v>261</v>
      </c>
      <c r="G7" s="349" t="s">
        <v>262</v>
      </c>
      <c r="H7" s="349" t="s">
        <v>263</v>
      </c>
      <c r="J7" s="349" t="s">
        <v>261</v>
      </c>
      <c r="K7" s="349" t="s">
        <v>262</v>
      </c>
      <c r="L7" s="349" t="s">
        <v>263</v>
      </c>
      <c r="M7" s="349" t="s">
        <v>261</v>
      </c>
      <c r="N7" s="349" t="s">
        <v>262</v>
      </c>
      <c r="O7" s="349" t="s">
        <v>263</v>
      </c>
    </row>
    <row r="8" spans="1:15" ht="11.3" customHeight="1" x14ac:dyDescent="0.25">
      <c r="A8"/>
      <c r="B8" s="350">
        <v>2017</v>
      </c>
      <c r="C8" s="352">
        <v>2.5881569999999998</v>
      </c>
      <c r="D8" s="352">
        <v>2.5881569999999998</v>
      </c>
      <c r="E8" s="352">
        <v>2.5881590000000001</v>
      </c>
      <c r="F8" s="352">
        <v>2.6929379999999998</v>
      </c>
      <c r="G8" s="352">
        <v>2.6928130000000001</v>
      </c>
      <c r="H8" s="352">
        <v>2.6923919999999999</v>
      </c>
      <c r="I8" s="351">
        <f>J8/C8</f>
        <v>0.19919348014822905</v>
      </c>
      <c r="J8" s="353">
        <v>0.515544</v>
      </c>
      <c r="K8" s="354">
        <v>0.51554</v>
      </c>
      <c r="L8" s="354">
        <v>0.515544</v>
      </c>
      <c r="M8" s="353">
        <v>0.54425999999999997</v>
      </c>
      <c r="N8" s="354">
        <v>0.544234</v>
      </c>
      <c r="O8" s="354">
        <v>0.54414999999999991</v>
      </c>
    </row>
    <row r="9" spans="1:15" ht="11.3" customHeight="1" x14ac:dyDescent="0.25">
      <c r="A9"/>
      <c r="B9" s="350">
        <v>2018</v>
      </c>
      <c r="C9" s="352">
        <v>2.8932310000000001</v>
      </c>
      <c r="D9" s="352">
        <v>2.8932310000000001</v>
      </c>
      <c r="E9" s="352">
        <v>2.8932310000000001</v>
      </c>
      <c r="F9" s="352">
        <v>3.1838160000000002</v>
      </c>
      <c r="G9" s="352">
        <v>3.1835089999999999</v>
      </c>
      <c r="H9" s="352">
        <v>3.1833689999999999</v>
      </c>
      <c r="J9" s="353">
        <v>0.54016600000000004</v>
      </c>
      <c r="K9" s="354">
        <v>0.54016200000000003</v>
      </c>
      <c r="L9" s="354">
        <v>0.54017099999999996</v>
      </c>
      <c r="M9" s="353">
        <v>0.58471000000000006</v>
      </c>
      <c r="N9" s="354">
        <v>0.58465400000000001</v>
      </c>
      <c r="O9" s="354">
        <v>0.58462800000000004</v>
      </c>
    </row>
    <row r="10" spans="1:15" ht="11.3" customHeight="1" x14ac:dyDescent="0.25">
      <c r="A10"/>
      <c r="B10" s="350">
        <v>2019</v>
      </c>
      <c r="C10" s="352">
        <v>2.9147400000000001</v>
      </c>
      <c r="D10" s="352">
        <v>2.6648550000000002</v>
      </c>
      <c r="E10" s="352">
        <v>3.7346119999999998</v>
      </c>
      <c r="F10" s="352">
        <v>3.123262</v>
      </c>
      <c r="G10" s="352">
        <v>2.839426</v>
      </c>
      <c r="H10" s="352">
        <v>4.0171979999999996</v>
      </c>
      <c r="J10" s="353">
        <v>0.53599399999999997</v>
      </c>
      <c r="K10" s="354">
        <v>0.53380699999999992</v>
      </c>
      <c r="L10" s="354">
        <v>0.543346</v>
      </c>
      <c r="M10" s="353">
        <v>0.57887500000000003</v>
      </c>
      <c r="N10" s="354">
        <v>0.57917200000000002</v>
      </c>
      <c r="O10" s="354">
        <v>0.57814999999999994</v>
      </c>
    </row>
    <row r="11" spans="1:15" ht="11.3" customHeight="1" x14ac:dyDescent="0.25">
      <c r="A11"/>
      <c r="B11" s="350">
        <v>2020</v>
      </c>
      <c r="C11" s="352">
        <v>3.0029029999999999</v>
      </c>
      <c r="D11" s="352">
        <v>2.4223910000000002</v>
      </c>
      <c r="E11" s="352">
        <v>4.085737</v>
      </c>
      <c r="F11" s="352">
        <v>3.326381</v>
      </c>
      <c r="G11" s="352">
        <v>2.5509379999999999</v>
      </c>
      <c r="H11" s="352">
        <v>4.5284120000000003</v>
      </c>
      <c r="J11" s="353">
        <v>0.53184300000000007</v>
      </c>
      <c r="K11" s="354">
        <v>0.52704200000000001</v>
      </c>
      <c r="L11" s="354">
        <v>0.54076999999999997</v>
      </c>
      <c r="M11" s="353">
        <v>0.57579999999999998</v>
      </c>
      <c r="N11" s="354">
        <v>0.57713499999999995</v>
      </c>
      <c r="O11" s="354">
        <v>0.57404199999999994</v>
      </c>
    </row>
    <row r="12" spans="1:15" ht="11.3" customHeight="1" x14ac:dyDescent="0.25">
      <c r="A12"/>
      <c r="B12" s="350">
        <v>2021</v>
      </c>
      <c r="C12" s="352">
        <v>3.025417</v>
      </c>
      <c r="D12" s="352">
        <v>2.4311210000000001</v>
      </c>
      <c r="E12" s="352">
        <v>4.4161429999999999</v>
      </c>
      <c r="F12" s="352">
        <v>3.3373910000000002</v>
      </c>
      <c r="G12" s="352">
        <v>2.5541480000000001</v>
      </c>
      <c r="H12" s="352">
        <v>4.9006249999999998</v>
      </c>
      <c r="J12" s="353">
        <v>0.52705999999999997</v>
      </c>
      <c r="K12" s="354">
        <v>0.52295199999999997</v>
      </c>
      <c r="L12" s="354">
        <v>0.537412</v>
      </c>
      <c r="M12" s="353">
        <v>0.57030800000000004</v>
      </c>
      <c r="N12" s="354">
        <v>0.57217699999999994</v>
      </c>
      <c r="O12" s="354">
        <v>0.56423800000000002</v>
      </c>
    </row>
    <row r="13" spans="1:15" ht="11.3" customHeight="1" x14ac:dyDescent="0.25">
      <c r="A13"/>
      <c r="B13" s="350">
        <v>2022</v>
      </c>
      <c r="C13" s="352">
        <v>3.033026</v>
      </c>
      <c r="D13" s="352">
        <v>2.425319</v>
      </c>
      <c r="E13" s="352">
        <v>4.6213519999999999</v>
      </c>
      <c r="F13" s="352">
        <v>3.3094389999999998</v>
      </c>
      <c r="G13" s="352">
        <v>2.5609869999999999</v>
      </c>
      <c r="H13" s="352">
        <v>5.1624460000000001</v>
      </c>
      <c r="J13" s="353">
        <v>0.52240299999999995</v>
      </c>
      <c r="K13" s="354">
        <v>0.51902700000000002</v>
      </c>
      <c r="L13" s="354">
        <v>0.53215800000000002</v>
      </c>
      <c r="M13" s="353">
        <v>0.56406500000000004</v>
      </c>
      <c r="N13" s="354">
        <v>0.56738699999999997</v>
      </c>
      <c r="O13" s="354">
        <v>0.55484299999999998</v>
      </c>
    </row>
    <row r="14" spans="1:15" ht="11.3" customHeight="1" x14ac:dyDescent="0.25">
      <c r="A14"/>
      <c r="B14" s="350">
        <v>2023</v>
      </c>
      <c r="C14" s="352">
        <v>3.0742500000000001</v>
      </c>
      <c r="D14" s="352">
        <v>2.432426</v>
      </c>
      <c r="E14" s="352">
        <v>4.7715139999999998</v>
      </c>
      <c r="F14" s="352">
        <v>3.344697</v>
      </c>
      <c r="G14" s="352">
        <v>2.5677120000000002</v>
      </c>
      <c r="H14" s="352">
        <v>5.3644179999999997</v>
      </c>
      <c r="J14" s="353">
        <v>0.518015</v>
      </c>
      <c r="K14" s="354">
        <v>0.51531799999999994</v>
      </c>
      <c r="L14" s="354">
        <v>0.52605800000000003</v>
      </c>
      <c r="M14" s="353">
        <v>0.55840299999999998</v>
      </c>
      <c r="N14" s="354">
        <v>0.56297900000000001</v>
      </c>
      <c r="O14" s="354">
        <v>0.54524899999999998</v>
      </c>
    </row>
    <row r="15" spans="1:15" ht="11.3" customHeight="1" x14ac:dyDescent="0.25">
      <c r="A15"/>
      <c r="B15" s="350">
        <v>2024</v>
      </c>
      <c r="C15" s="352">
        <v>3.1167419999999999</v>
      </c>
      <c r="D15" s="352">
        <v>2.4330370000000001</v>
      </c>
      <c r="E15" s="352">
        <v>4.8529619999999998</v>
      </c>
      <c r="F15" s="352">
        <v>3.4141149999999998</v>
      </c>
      <c r="G15" s="352">
        <v>2.542087</v>
      </c>
      <c r="H15" s="352">
        <v>5.4479829999999998</v>
      </c>
      <c r="J15" s="353">
        <v>0.513795</v>
      </c>
      <c r="K15" s="354">
        <v>0.51163899999999995</v>
      </c>
      <c r="L15" s="354">
        <v>0.51896799999999998</v>
      </c>
      <c r="M15" s="353">
        <v>0.55337100000000006</v>
      </c>
      <c r="N15" s="354">
        <v>0.559006</v>
      </c>
      <c r="O15" s="354">
        <v>0.535806</v>
      </c>
    </row>
    <row r="16" spans="1:15" ht="11.3" customHeight="1" x14ac:dyDescent="0.25">
      <c r="A16"/>
      <c r="B16" s="350">
        <v>2025</v>
      </c>
      <c r="C16" s="352">
        <v>3.151408</v>
      </c>
      <c r="D16" s="352">
        <v>2.4115120000000001</v>
      </c>
      <c r="E16" s="352">
        <v>4.9184380000000001</v>
      </c>
      <c r="F16" s="352">
        <v>3.4664990000000002</v>
      </c>
      <c r="G16" s="352">
        <v>2.5228700000000002</v>
      </c>
      <c r="H16" s="352">
        <v>5.5213599999999996</v>
      </c>
      <c r="J16" s="353">
        <v>0.50962700000000005</v>
      </c>
      <c r="K16" s="354">
        <v>0.50791399999999998</v>
      </c>
      <c r="L16" s="354">
        <v>0.51188800000000001</v>
      </c>
      <c r="M16" s="353">
        <v>0.54842999999999997</v>
      </c>
      <c r="N16" s="354">
        <v>0.55554499999999996</v>
      </c>
      <c r="O16" s="354">
        <v>0.52677099999999999</v>
      </c>
    </row>
    <row r="17" spans="1:15" ht="11.3" customHeight="1" x14ac:dyDescent="0.25">
      <c r="A17"/>
      <c r="B17" s="350">
        <v>2026</v>
      </c>
      <c r="C17" s="352">
        <v>3.177133</v>
      </c>
      <c r="D17" s="352">
        <v>2.3731870000000002</v>
      </c>
      <c r="E17" s="352">
        <v>4.9501970000000002</v>
      </c>
      <c r="F17" s="352">
        <v>3.491835</v>
      </c>
      <c r="G17" s="352">
        <v>2.47594</v>
      </c>
      <c r="H17" s="352">
        <v>5.5630090000000001</v>
      </c>
      <c r="J17" s="353">
        <v>0.50590100000000005</v>
      </c>
      <c r="K17" s="354">
        <v>0.50471100000000002</v>
      </c>
      <c r="L17" s="354">
        <v>0.50527699999999998</v>
      </c>
      <c r="M17" s="353">
        <v>0.544041</v>
      </c>
      <c r="N17" s="354">
        <v>0.55253599999999992</v>
      </c>
      <c r="O17" s="354">
        <v>0.51838899999999999</v>
      </c>
    </row>
    <row r="18" spans="1:15" ht="11.3" customHeight="1" x14ac:dyDescent="0.25">
      <c r="A18"/>
      <c r="B18" s="350">
        <v>2027</v>
      </c>
      <c r="C18" s="352">
        <v>3.2425269999999999</v>
      </c>
      <c r="D18" s="352">
        <v>2.3796650000000001</v>
      </c>
      <c r="E18" s="352">
        <v>4.9351929999999999</v>
      </c>
      <c r="F18" s="352">
        <v>3.5884490000000002</v>
      </c>
      <c r="G18" s="352">
        <v>2.4900380000000002</v>
      </c>
      <c r="H18" s="352">
        <v>5.5614610000000004</v>
      </c>
      <c r="J18" s="353">
        <v>0.50271100000000002</v>
      </c>
      <c r="K18" s="354">
        <v>0.50203200000000003</v>
      </c>
      <c r="L18" s="354">
        <v>0.498944</v>
      </c>
      <c r="M18" s="353">
        <v>0.539825</v>
      </c>
      <c r="N18" s="354">
        <v>0.54977100000000001</v>
      </c>
      <c r="O18" s="354">
        <v>0.51106499999999999</v>
      </c>
    </row>
    <row r="19" spans="1:15" ht="11.3" customHeight="1" x14ac:dyDescent="0.25">
      <c r="A19"/>
      <c r="B19" s="350">
        <v>2028</v>
      </c>
      <c r="C19" s="352">
        <v>3.2654450000000002</v>
      </c>
      <c r="D19" s="352">
        <v>2.3816709999999999</v>
      </c>
      <c r="E19" s="352">
        <v>4.9446810000000001</v>
      </c>
      <c r="F19" s="352">
        <v>3.6205069999999999</v>
      </c>
      <c r="G19" s="352">
        <v>2.516902</v>
      </c>
      <c r="H19" s="352">
        <v>5.5691110000000004</v>
      </c>
      <c r="J19" s="353">
        <v>0.49923600000000001</v>
      </c>
      <c r="K19" s="354">
        <v>0.49939800000000001</v>
      </c>
      <c r="L19" s="354">
        <v>0.49363000000000001</v>
      </c>
      <c r="M19" s="353">
        <v>0.53566400000000003</v>
      </c>
      <c r="N19" s="354">
        <v>0.54695800000000006</v>
      </c>
      <c r="O19" s="354">
        <v>0.50464200000000003</v>
      </c>
    </row>
    <row r="20" spans="1:15" ht="11.3" customHeight="1" x14ac:dyDescent="0.25">
      <c r="A20"/>
      <c r="B20" s="350">
        <v>2029</v>
      </c>
      <c r="C20" s="352">
        <v>3.345129</v>
      </c>
      <c r="D20" s="352">
        <v>2.420093</v>
      </c>
      <c r="E20" s="352">
        <v>5.0534059999999998</v>
      </c>
      <c r="F20" s="352">
        <v>3.7350080000000001</v>
      </c>
      <c r="G20" s="352">
        <v>2.5651350000000002</v>
      </c>
      <c r="H20" s="352">
        <v>5.7126190000000001</v>
      </c>
      <c r="J20" s="353">
        <v>0.49589</v>
      </c>
      <c r="K20" s="354">
        <v>0.49668699999999999</v>
      </c>
      <c r="L20" s="354">
        <v>0.48941499999999999</v>
      </c>
      <c r="M20" s="353">
        <v>0.53146199999999999</v>
      </c>
      <c r="N20" s="354">
        <v>0.54430200000000006</v>
      </c>
      <c r="O20" s="354">
        <v>0.49915299999999996</v>
      </c>
    </row>
    <row r="21" spans="1:15" ht="11.3" customHeight="1" x14ac:dyDescent="0.25">
      <c r="A21"/>
      <c r="B21" s="350">
        <v>2030</v>
      </c>
      <c r="C21" s="352">
        <v>3.3590970000000002</v>
      </c>
      <c r="D21" s="352">
        <v>2.4193370000000001</v>
      </c>
      <c r="E21" s="352">
        <v>5.1083449999999999</v>
      </c>
      <c r="F21" s="352">
        <v>3.7641300000000002</v>
      </c>
      <c r="G21" s="352">
        <v>2.5650580000000001</v>
      </c>
      <c r="H21" s="352">
        <v>5.7916939999999997</v>
      </c>
      <c r="J21" s="353">
        <v>0.49261999999999995</v>
      </c>
      <c r="K21" s="354">
        <v>0.49410200000000004</v>
      </c>
      <c r="L21" s="354">
        <v>0.48585200000000001</v>
      </c>
      <c r="M21" s="353">
        <v>0.52770000000000006</v>
      </c>
      <c r="N21" s="354">
        <v>0.54159800000000002</v>
      </c>
      <c r="O21" s="354">
        <v>0.49446499999999999</v>
      </c>
    </row>
    <row r="22" spans="1:15" ht="11.3" customHeight="1" x14ac:dyDescent="0.25">
      <c r="A22"/>
      <c r="B22" s="350">
        <v>2031</v>
      </c>
      <c r="C22" s="352">
        <v>3.3952040000000001</v>
      </c>
      <c r="D22" s="352">
        <v>2.4197609999999998</v>
      </c>
      <c r="E22" s="352">
        <v>5.1425700000000001</v>
      </c>
      <c r="F22" s="352">
        <v>3.8046760000000002</v>
      </c>
      <c r="G22" s="352">
        <v>2.567288</v>
      </c>
      <c r="H22" s="352">
        <v>5.8295579999999996</v>
      </c>
      <c r="J22" s="353">
        <v>0.48950699999999997</v>
      </c>
      <c r="K22" s="354">
        <v>0.49150300000000002</v>
      </c>
      <c r="L22" s="354">
        <v>0.48240699999999997</v>
      </c>
      <c r="M22" s="353">
        <v>0.52394699999999994</v>
      </c>
      <c r="N22" s="354">
        <v>0.53890000000000005</v>
      </c>
      <c r="O22" s="354">
        <v>0.49052099999999998</v>
      </c>
    </row>
    <row r="23" spans="1:15" ht="11.3" customHeight="1" x14ac:dyDescent="0.25">
      <c r="A23"/>
      <c r="B23" s="350">
        <v>2032</v>
      </c>
      <c r="C23" s="352">
        <v>3.4234960000000001</v>
      </c>
      <c r="D23" s="352">
        <v>2.4355959999999999</v>
      </c>
      <c r="E23" s="352">
        <v>5.175948</v>
      </c>
      <c r="F23" s="352">
        <v>3.848112</v>
      </c>
      <c r="G23" s="352">
        <v>2.587796</v>
      </c>
      <c r="H23" s="352">
        <v>5.8936130000000002</v>
      </c>
      <c r="J23" s="353">
        <v>0.48641999999999996</v>
      </c>
      <c r="K23" s="354">
        <v>0.48896699999999998</v>
      </c>
      <c r="L23" s="354">
        <v>0.47928799999999999</v>
      </c>
      <c r="M23" s="353">
        <v>0.52016899999999999</v>
      </c>
      <c r="N23" s="354">
        <v>0.535972</v>
      </c>
      <c r="O23" s="354">
        <v>0.48698399999999997</v>
      </c>
    </row>
    <row r="24" spans="1:15" ht="11.3" customHeight="1" x14ac:dyDescent="0.25">
      <c r="A24"/>
      <c r="B24" s="350">
        <v>2033</v>
      </c>
      <c r="C24" s="352">
        <v>3.4373239999999998</v>
      </c>
      <c r="D24" s="352">
        <v>2.438863</v>
      </c>
      <c r="E24" s="352">
        <v>5.19557</v>
      </c>
      <c r="F24" s="352">
        <v>3.8867609999999999</v>
      </c>
      <c r="G24" s="352">
        <v>2.5919780000000001</v>
      </c>
      <c r="H24" s="352">
        <v>5.9485919999999997</v>
      </c>
      <c r="J24" s="353">
        <v>0.48326799999999998</v>
      </c>
      <c r="K24" s="354">
        <v>0.48617900000000003</v>
      </c>
      <c r="L24" s="354">
        <v>0.47618199999999999</v>
      </c>
      <c r="M24" s="353">
        <v>0.51652500000000001</v>
      </c>
      <c r="N24" s="354">
        <v>0.53284699999999996</v>
      </c>
      <c r="O24" s="354">
        <v>0.48376399999999997</v>
      </c>
    </row>
    <row r="25" spans="1:15" ht="11.3" customHeight="1" x14ac:dyDescent="0.25">
      <c r="A25"/>
      <c r="B25" s="350">
        <v>2034</v>
      </c>
      <c r="C25" s="352">
        <v>3.4620869999999999</v>
      </c>
      <c r="D25" s="352">
        <v>2.43167</v>
      </c>
      <c r="E25" s="352">
        <v>5.209543</v>
      </c>
      <c r="F25" s="352">
        <v>3.8985789999999998</v>
      </c>
      <c r="G25" s="352">
        <v>2.5891609999999998</v>
      </c>
      <c r="H25" s="352">
        <v>6.0140599999999997</v>
      </c>
      <c r="J25" s="353">
        <v>0.48025899999999999</v>
      </c>
      <c r="K25" s="354">
        <v>0.48319199999999995</v>
      </c>
      <c r="L25" s="354">
        <v>0.47364299999999998</v>
      </c>
      <c r="M25" s="353">
        <v>0.51281100000000002</v>
      </c>
      <c r="N25" s="354">
        <v>0.52964299999999997</v>
      </c>
      <c r="O25" s="354">
        <v>0.48092400000000002</v>
      </c>
    </row>
    <row r="26" spans="1:15" ht="11.3" customHeight="1" x14ac:dyDescent="0.25">
      <c r="A26"/>
      <c r="B26" s="350">
        <v>2035</v>
      </c>
      <c r="C26" s="352">
        <v>3.4839030000000002</v>
      </c>
      <c r="D26" s="352">
        <v>2.4370829999999999</v>
      </c>
      <c r="E26" s="352">
        <v>5.2502680000000002</v>
      </c>
      <c r="F26" s="352">
        <v>3.9358170000000001</v>
      </c>
      <c r="G26" s="352">
        <v>2.5951469999999999</v>
      </c>
      <c r="H26" s="352">
        <v>6.089226</v>
      </c>
      <c r="J26" s="353">
        <v>0.47719200000000001</v>
      </c>
      <c r="K26" s="354">
        <v>0.48016999999999999</v>
      </c>
      <c r="L26" s="354">
        <v>0.47128400000000004</v>
      </c>
      <c r="M26" s="353">
        <v>0.50931999999999999</v>
      </c>
      <c r="N26" s="354">
        <v>0.52630700000000008</v>
      </c>
      <c r="O26" s="354">
        <v>0.47827900000000001</v>
      </c>
    </row>
    <row r="27" spans="1:15" ht="11.3" customHeight="1" x14ac:dyDescent="0.25">
      <c r="A27"/>
      <c r="B27" s="350">
        <v>2036</v>
      </c>
      <c r="C27" s="352">
        <v>3.512381</v>
      </c>
      <c r="D27" s="352">
        <v>2.4445000000000001</v>
      </c>
      <c r="E27" s="352">
        <v>5.277971</v>
      </c>
      <c r="F27" s="352">
        <v>3.981144</v>
      </c>
      <c r="G27" s="352">
        <v>2.6003370000000001</v>
      </c>
      <c r="H27" s="352">
        <v>6.1379250000000001</v>
      </c>
      <c r="J27" s="353">
        <v>0.47453299999999998</v>
      </c>
      <c r="K27" s="354">
        <v>0.477437</v>
      </c>
      <c r="L27" s="354">
        <v>0.469335</v>
      </c>
      <c r="M27" s="353">
        <v>0.50577000000000005</v>
      </c>
      <c r="N27" s="354">
        <v>0.52284799999999998</v>
      </c>
      <c r="O27" s="354">
        <v>0.475804</v>
      </c>
    </row>
    <row r="28" spans="1:15" ht="11.3" customHeight="1" x14ac:dyDescent="0.25">
      <c r="A28"/>
      <c r="B28" s="350">
        <v>2037</v>
      </c>
      <c r="C28" s="352">
        <v>3.51159</v>
      </c>
      <c r="D28" s="352">
        <v>2.459225</v>
      </c>
      <c r="E28" s="352">
        <v>5.2804209999999996</v>
      </c>
      <c r="F28" s="352">
        <v>3.9727440000000001</v>
      </c>
      <c r="G28" s="352">
        <v>2.6101559999999999</v>
      </c>
      <c r="H28" s="352">
        <v>6.1547320000000001</v>
      </c>
      <c r="J28" s="353">
        <v>0.47164299999999998</v>
      </c>
      <c r="K28" s="354">
        <v>0.47472500000000006</v>
      </c>
      <c r="L28" s="354">
        <v>0.46711000000000003</v>
      </c>
      <c r="M28" s="353">
        <v>0.50235099999999999</v>
      </c>
      <c r="N28" s="354">
        <v>0.51924999999999999</v>
      </c>
      <c r="O28" s="354">
        <v>0.47343200000000002</v>
      </c>
    </row>
    <row r="29" spans="1:15" ht="11.3" customHeight="1" x14ac:dyDescent="0.25">
      <c r="A29"/>
      <c r="B29" s="350">
        <v>2038</v>
      </c>
      <c r="C29" s="352">
        <v>3.5312649999999999</v>
      </c>
      <c r="D29" s="352">
        <v>2.4396610000000001</v>
      </c>
      <c r="E29" s="352">
        <v>5.3152780000000002</v>
      </c>
      <c r="F29" s="352">
        <v>3.9973160000000001</v>
      </c>
      <c r="G29" s="352">
        <v>2.584238</v>
      </c>
      <c r="H29" s="352">
        <v>6.1973859999999998</v>
      </c>
      <c r="J29" s="353">
        <v>0.46899899999999994</v>
      </c>
      <c r="K29" s="354">
        <v>0.47167400000000004</v>
      </c>
      <c r="L29" s="354">
        <v>0.465418</v>
      </c>
      <c r="M29" s="353">
        <v>0.49898599999999999</v>
      </c>
      <c r="N29" s="354">
        <v>0.51542699999999997</v>
      </c>
      <c r="O29" s="354">
        <v>0.47119100000000003</v>
      </c>
    </row>
    <row r="30" spans="1:15" ht="11.3" customHeight="1" x14ac:dyDescent="0.25">
      <c r="A30"/>
      <c r="B30" s="350">
        <v>2039</v>
      </c>
      <c r="C30" s="352">
        <v>3.5530629999999999</v>
      </c>
      <c r="D30" s="352">
        <v>2.4477159999999998</v>
      </c>
      <c r="E30" s="352">
        <v>5.3420310000000004</v>
      </c>
      <c r="F30" s="352">
        <v>4.0190039999999998</v>
      </c>
      <c r="G30" s="352">
        <v>2.5970369999999998</v>
      </c>
      <c r="H30" s="352">
        <v>6.2326649999999999</v>
      </c>
      <c r="J30" s="353">
        <v>0.46642700000000004</v>
      </c>
      <c r="K30" s="354">
        <v>0.46887400000000001</v>
      </c>
      <c r="L30" s="354">
        <v>0.46364099999999997</v>
      </c>
      <c r="M30" s="353">
        <v>0.49568999999999996</v>
      </c>
      <c r="N30" s="354">
        <v>0.51195599999999997</v>
      </c>
      <c r="O30" s="354">
        <v>0.46903299999999998</v>
      </c>
    </row>
    <row r="31" spans="1:15" ht="11.3" customHeight="1" x14ac:dyDescent="0.25">
      <c r="A31"/>
      <c r="B31" s="350">
        <v>2040</v>
      </c>
      <c r="C31" s="352">
        <v>3.5772370000000002</v>
      </c>
      <c r="D31" s="352">
        <v>2.438345</v>
      </c>
      <c r="E31" s="352">
        <v>5.3717160000000002</v>
      </c>
      <c r="F31" s="352">
        <v>4.0379170000000002</v>
      </c>
      <c r="G31" s="352">
        <v>2.591386</v>
      </c>
      <c r="H31" s="352">
        <v>6.2678779999999996</v>
      </c>
      <c r="J31" s="353">
        <v>0.46388399999999996</v>
      </c>
      <c r="K31" s="354">
        <v>0.465916</v>
      </c>
      <c r="L31" s="354">
        <v>0.46196399999999999</v>
      </c>
      <c r="M31" s="353">
        <v>0.49246599999999996</v>
      </c>
      <c r="N31" s="354">
        <v>0.50830399999999998</v>
      </c>
      <c r="O31" s="354">
        <v>0.46694099999999999</v>
      </c>
    </row>
    <row r="32" spans="1:15" ht="11.3" customHeight="1" x14ac:dyDescent="0.25">
      <c r="A32"/>
      <c r="B32" s="350">
        <v>2041</v>
      </c>
      <c r="C32" s="352">
        <v>3.5887220000000002</v>
      </c>
      <c r="D32" s="352">
        <v>2.4376630000000001</v>
      </c>
      <c r="E32" s="352">
        <v>5.4132720000000001</v>
      </c>
      <c r="F32" s="352">
        <v>4.0409160000000002</v>
      </c>
      <c r="G32" s="352">
        <v>2.5855130000000002</v>
      </c>
      <c r="H32" s="352">
        <v>6.3061800000000003</v>
      </c>
      <c r="J32" s="353">
        <v>0.46138000000000001</v>
      </c>
      <c r="K32" s="354">
        <v>0.46321299999999999</v>
      </c>
      <c r="L32" s="354">
        <v>0.46053699999999997</v>
      </c>
      <c r="M32" s="353">
        <v>0.48926999999999998</v>
      </c>
      <c r="N32" s="354">
        <v>0.50462899999999999</v>
      </c>
      <c r="O32" s="354">
        <v>0.46488799999999997</v>
      </c>
    </row>
    <row r="33" spans="1:15" ht="11.3" customHeight="1" x14ac:dyDescent="0.25">
      <c r="A33"/>
      <c r="B33" s="350">
        <v>2042</v>
      </c>
      <c r="C33" s="352">
        <v>3.6160000000000001</v>
      </c>
      <c r="D33" s="352">
        <v>2.4383819999999998</v>
      </c>
      <c r="E33" s="352">
        <v>5.42645</v>
      </c>
      <c r="F33" s="352">
        <v>4.0637829999999999</v>
      </c>
      <c r="G33" s="352">
        <v>2.5838489999999998</v>
      </c>
      <c r="H33" s="352">
        <v>6.3261609999999999</v>
      </c>
      <c r="J33" s="353">
        <v>0.459094</v>
      </c>
      <c r="K33" s="354">
        <v>0.46046300000000001</v>
      </c>
      <c r="L33" s="354">
        <v>0.45892900000000003</v>
      </c>
      <c r="M33" s="353">
        <v>0.48608600000000002</v>
      </c>
      <c r="N33" s="354">
        <v>0.50085499999999994</v>
      </c>
      <c r="O33" s="354">
        <v>0.46289600000000003</v>
      </c>
    </row>
    <row r="34" spans="1:15" ht="11.3" customHeight="1" x14ac:dyDescent="0.25">
      <c r="A34"/>
      <c r="B34" s="350">
        <v>2043</v>
      </c>
      <c r="C34" s="352">
        <v>3.6205400000000001</v>
      </c>
      <c r="D34" s="352">
        <v>2.4450099999999999</v>
      </c>
      <c r="E34" s="352">
        <v>5.4492989999999999</v>
      </c>
      <c r="F34" s="352">
        <v>4.0639890000000003</v>
      </c>
      <c r="G34" s="352">
        <v>2.5869520000000001</v>
      </c>
      <c r="H34" s="352">
        <v>6.3592139999999997</v>
      </c>
      <c r="J34" s="353">
        <v>0.45655099999999998</v>
      </c>
      <c r="K34" s="354">
        <v>0.45778300000000005</v>
      </c>
      <c r="L34" s="354">
        <v>0.45744600000000002</v>
      </c>
      <c r="M34" s="353">
        <v>0.48299499999999995</v>
      </c>
      <c r="N34" s="354">
        <v>0.497137</v>
      </c>
      <c r="O34" s="354">
        <v>0.46098</v>
      </c>
    </row>
    <row r="35" spans="1:15" ht="11.3" customHeight="1" x14ac:dyDescent="0.25">
      <c r="A35"/>
      <c r="B35" s="350">
        <v>2044</v>
      </c>
      <c r="C35" s="352">
        <v>3.6194670000000002</v>
      </c>
      <c r="D35" s="352">
        <v>2.450653</v>
      </c>
      <c r="E35" s="352">
        <v>5.4833379999999998</v>
      </c>
      <c r="F35" s="352">
        <v>4.0470769999999998</v>
      </c>
      <c r="G35" s="352">
        <v>2.5853790000000001</v>
      </c>
      <c r="H35" s="352">
        <v>6.4010109999999996</v>
      </c>
      <c r="J35" s="353">
        <v>0.45403400000000005</v>
      </c>
      <c r="K35" s="354">
        <v>0.45513799999999999</v>
      </c>
      <c r="L35" s="354">
        <v>0.45613500000000001</v>
      </c>
      <c r="M35" s="353">
        <v>0.47996399999999995</v>
      </c>
      <c r="N35" s="354">
        <v>0.49342399999999997</v>
      </c>
      <c r="O35" s="354">
        <v>0.45907300000000001</v>
      </c>
    </row>
    <row r="36" spans="1:15" ht="11.3" customHeight="1" x14ac:dyDescent="0.25">
      <c r="A36"/>
      <c r="B36" s="350">
        <v>2045</v>
      </c>
      <c r="C36" s="352">
        <v>3.6261420000000002</v>
      </c>
      <c r="D36" s="352">
        <v>2.4747330000000001</v>
      </c>
      <c r="E36" s="352">
        <v>5.5250539999999999</v>
      </c>
      <c r="F36" s="352">
        <v>4.0528560000000002</v>
      </c>
      <c r="G36" s="352">
        <v>2.5726840000000002</v>
      </c>
      <c r="H36" s="352">
        <v>6.4470710000000002</v>
      </c>
      <c r="J36" s="353">
        <v>0.45162000000000002</v>
      </c>
      <c r="K36" s="354">
        <v>0.45255699999999999</v>
      </c>
      <c r="L36" s="354">
        <v>0.454793</v>
      </c>
      <c r="M36" s="353">
        <v>0.47694300000000001</v>
      </c>
      <c r="N36" s="354">
        <v>0.48944900000000002</v>
      </c>
      <c r="O36" s="354">
        <v>0.45723799999999998</v>
      </c>
    </row>
    <row r="37" spans="1:15" ht="11.3" customHeight="1" x14ac:dyDescent="0.25">
      <c r="A37"/>
      <c r="B37" s="350">
        <v>2046</v>
      </c>
      <c r="C37" s="352">
        <v>3.6361699999999999</v>
      </c>
      <c r="D37" s="352">
        <v>2.4785629999999998</v>
      </c>
      <c r="E37" s="352">
        <v>5.5192449999999997</v>
      </c>
      <c r="F37" s="352">
        <v>4.0338050000000001</v>
      </c>
      <c r="G37" s="352">
        <v>2.548527</v>
      </c>
      <c r="H37" s="352">
        <v>6.4843190000000002</v>
      </c>
      <c r="J37" s="353">
        <v>0.449235</v>
      </c>
      <c r="K37" s="354">
        <v>0.44976700000000003</v>
      </c>
      <c r="L37" s="354">
        <v>0.45294400000000001</v>
      </c>
      <c r="M37" s="353">
        <v>0.473997</v>
      </c>
      <c r="N37" s="354">
        <v>0.485738</v>
      </c>
      <c r="O37" s="354">
        <v>0.45540100000000006</v>
      </c>
    </row>
    <row r="38" spans="1:15" ht="11.3" customHeight="1" x14ac:dyDescent="0.25">
      <c r="A38"/>
      <c r="B38" s="350">
        <v>2047</v>
      </c>
      <c r="C38" s="352">
        <v>3.6435019999999998</v>
      </c>
      <c r="D38" s="352">
        <v>2.4913639999999999</v>
      </c>
      <c r="E38" s="352">
        <v>5.506837</v>
      </c>
      <c r="F38" s="352">
        <v>4.0133850000000004</v>
      </c>
      <c r="G38" s="352">
        <v>2.5531999999999999</v>
      </c>
      <c r="H38" s="352">
        <v>6.511819</v>
      </c>
      <c r="J38" s="353">
        <v>0.44683899999999999</v>
      </c>
      <c r="K38" s="354">
        <v>0.44708100000000001</v>
      </c>
      <c r="L38" s="354">
        <v>0.45132899999999998</v>
      </c>
      <c r="M38" s="353">
        <v>0.471057</v>
      </c>
      <c r="N38" s="354">
        <v>0.48192699999999999</v>
      </c>
      <c r="O38" s="354">
        <v>0.45357800000000004</v>
      </c>
    </row>
    <row r="39" spans="1:15" ht="11.3" customHeight="1" x14ac:dyDescent="0.25">
      <c r="A39"/>
      <c r="B39" s="350">
        <v>2048</v>
      </c>
      <c r="C39" s="352">
        <v>3.6591070000000001</v>
      </c>
      <c r="D39" s="352">
        <v>2.5003139999999999</v>
      </c>
      <c r="E39" s="352">
        <v>5.5172689999999998</v>
      </c>
      <c r="F39" s="352">
        <v>4.0168330000000001</v>
      </c>
      <c r="G39" s="352">
        <v>2.5639539999999998</v>
      </c>
      <c r="H39" s="352">
        <v>6.5292120000000002</v>
      </c>
      <c r="J39" s="353">
        <v>0.44457100000000005</v>
      </c>
      <c r="K39" s="354">
        <v>0.44438599999999995</v>
      </c>
      <c r="L39" s="354">
        <v>0.44988400000000001</v>
      </c>
      <c r="M39" s="353">
        <v>0.46814700000000004</v>
      </c>
      <c r="N39" s="354">
        <v>0.47857700000000003</v>
      </c>
      <c r="O39" s="354">
        <v>0.451683</v>
      </c>
    </row>
    <row r="40" spans="1:15" ht="11.3" customHeight="1" x14ac:dyDescent="0.25">
      <c r="A40"/>
      <c r="B40" s="350">
        <v>2049</v>
      </c>
      <c r="C40" s="352">
        <v>3.6589610000000001</v>
      </c>
      <c r="D40" s="352">
        <v>2.5104000000000002</v>
      </c>
      <c r="E40" s="352">
        <v>5.536022</v>
      </c>
      <c r="F40" s="352">
        <v>4.0082680000000002</v>
      </c>
      <c r="G40" s="352">
        <v>2.5688650000000002</v>
      </c>
      <c r="H40" s="352">
        <v>6.5741990000000001</v>
      </c>
      <c r="J40" s="353">
        <v>0.44212299999999999</v>
      </c>
      <c r="K40" s="354">
        <v>0.44175799999999998</v>
      </c>
      <c r="L40" s="354">
        <v>0.44817699999999999</v>
      </c>
      <c r="M40" s="353">
        <v>0.46529100000000001</v>
      </c>
      <c r="N40" s="354">
        <v>0.47501000000000004</v>
      </c>
      <c r="O40" s="354">
        <v>0.44971899999999998</v>
      </c>
    </row>
    <row r="41" spans="1:15" ht="11.3" customHeight="1" x14ac:dyDescent="0.25">
      <c r="A41"/>
      <c r="B41" s="350">
        <v>2050</v>
      </c>
      <c r="C41" s="352">
        <v>3.6580010000000001</v>
      </c>
      <c r="D41" s="352">
        <v>2.5121850000000001</v>
      </c>
      <c r="E41" s="352">
        <v>5.5679550000000004</v>
      </c>
      <c r="F41" s="352">
        <v>4.0067279999999998</v>
      </c>
      <c r="G41" s="352">
        <v>2.5742799999999999</v>
      </c>
      <c r="H41" s="352">
        <v>6.6080399999999999</v>
      </c>
      <c r="J41" s="353">
        <v>0.43986900000000001</v>
      </c>
      <c r="K41" s="354">
        <v>0.439054</v>
      </c>
      <c r="L41" s="354">
        <v>0.446743</v>
      </c>
      <c r="M41" s="353">
        <v>0.46247199999999999</v>
      </c>
      <c r="N41" s="354">
        <v>0.471252</v>
      </c>
      <c r="O41" s="354">
        <v>0.447633</v>
      </c>
    </row>
    <row r="42" spans="1:15" ht="11.3" customHeight="1" x14ac:dyDescent="0.25">
      <c r="A42" s="355"/>
      <c r="B42" s="356" t="s">
        <v>531</v>
      </c>
      <c r="C42" s="357">
        <f>AVERAGE(C8:C41)</f>
        <v>3.3648049117647059</v>
      </c>
      <c r="D42" s="357">
        <f t="shared" ref="D42:H42" si="0">AVERAGE(D8:D41)</f>
        <v>2.4649320294117651</v>
      </c>
      <c r="E42" s="357">
        <f t="shared" si="0"/>
        <v>4.9817655000000016</v>
      </c>
      <c r="F42" s="357">
        <f t="shared" si="0"/>
        <v>3.7390640294117654</v>
      </c>
      <c r="G42" s="357">
        <f t="shared" si="0"/>
        <v>2.5960379411764705</v>
      </c>
      <c r="H42" s="357">
        <f t="shared" si="0"/>
        <v>5.7155575882352947</v>
      </c>
    </row>
    <row r="43" spans="1:15" ht="11.3" customHeight="1" x14ac:dyDescent="0.2">
      <c r="B43" s="356" t="s">
        <v>532</v>
      </c>
      <c r="C43" s="358">
        <f>(C41/C8)^(1/($B41-$B8))-1</f>
        <v>1.0539112450533628E-2</v>
      </c>
      <c r="D43" s="358">
        <f t="shared" ref="D43:H43" si="1">(D41/D8)^(1/($B41-$B8))-1</f>
        <v>-9.0241521503531263E-4</v>
      </c>
      <c r="E43" s="358">
        <f t="shared" si="1"/>
        <v>2.3486132196649523E-2</v>
      </c>
      <c r="F43" s="358">
        <f t="shared" si="1"/>
        <v>1.2113452131603308E-2</v>
      </c>
      <c r="G43" s="358">
        <f t="shared" si="1"/>
        <v>-1.3632060125663426E-3</v>
      </c>
      <c r="H43" s="358">
        <f t="shared" si="1"/>
        <v>2.7581301751178122E-2</v>
      </c>
    </row>
    <row r="44" spans="1:15" ht="11.3" customHeight="1" x14ac:dyDescent="0.2">
      <c r="B44" s="359" t="s">
        <v>264</v>
      </c>
      <c r="J44" s="360" t="s">
        <v>265</v>
      </c>
    </row>
    <row r="45" spans="1:15" ht="11.3" customHeight="1" x14ac:dyDescent="0.2">
      <c r="B45" s="360" t="s">
        <v>266</v>
      </c>
    </row>
    <row r="46" spans="1:15" ht="11.3" customHeight="1" x14ac:dyDescent="0.2">
      <c r="B46" s="636" t="s">
        <v>267</v>
      </c>
    </row>
    <row r="48" spans="1:15" s="315" customFormat="1" ht="11.3" customHeight="1" x14ac:dyDescent="0.25">
      <c r="A48" s="316"/>
      <c r="B48" s="69" t="s">
        <v>533</v>
      </c>
      <c r="C48" s="362"/>
      <c r="D48" s="362"/>
      <c r="E48" s="362"/>
      <c r="F48" s="362"/>
      <c r="G48" s="362"/>
      <c r="H48" s="363"/>
      <c r="I48" s="363"/>
    </row>
    <row r="49" spans="1:11" s="315" customFormat="1" ht="11.3" customHeight="1" x14ac:dyDescent="0.25">
      <c r="A49" s="316"/>
      <c r="B49" s="361"/>
      <c r="C49" s="362"/>
      <c r="D49" s="362"/>
      <c r="E49" s="362"/>
      <c r="F49" s="362"/>
      <c r="G49" s="362"/>
      <c r="H49" s="363"/>
      <c r="I49" s="363"/>
    </row>
    <row r="51" spans="1:11" ht="20.95" x14ac:dyDescent="0.2">
      <c r="B51" s="364" t="s">
        <v>238</v>
      </c>
      <c r="C51" s="364" t="s">
        <v>268</v>
      </c>
      <c r="D51" s="364" t="s">
        <v>269</v>
      </c>
      <c r="F51" s="365" t="s">
        <v>270</v>
      </c>
      <c r="G51" s="365" t="s">
        <v>271</v>
      </c>
    </row>
    <row r="52" spans="1:11" ht="11.3" customHeight="1" x14ac:dyDescent="0.2">
      <c r="B52" s="366">
        <v>2017</v>
      </c>
      <c r="C52" s="367">
        <f t="shared" ref="C52:C85" si="2">(C8-J8)*$K$52</f>
        <v>2.0269104394194697</v>
      </c>
      <c r="D52" s="367">
        <f t="shared" ref="D52:D85" si="3">(F8-M8)*$K$52</f>
        <v>2.1012981531771482</v>
      </c>
      <c r="F52" s="351"/>
      <c r="G52" s="351"/>
      <c r="J52" s="368" t="s">
        <v>534</v>
      </c>
      <c r="K52" s="369">
        <v>0.9779493033284411</v>
      </c>
    </row>
    <row r="53" spans="1:11" ht="11.3" customHeight="1" x14ac:dyDescent="0.2">
      <c r="B53" s="366">
        <v>2018</v>
      </c>
      <c r="C53" s="367">
        <f t="shared" si="2"/>
        <v>2.3011782774365384</v>
      </c>
      <c r="D53" s="367">
        <f t="shared" si="3"/>
        <v>2.5417939019767712</v>
      </c>
      <c r="F53" s="351">
        <f t="shared" ref="F53:G85" si="4">C53/C52-1</f>
        <v>0.13531324950678236</v>
      </c>
      <c r="G53" s="351">
        <f t="shared" si="4"/>
        <v>0.20963029360378793</v>
      </c>
    </row>
    <row r="54" spans="1:11" ht="11.3" customHeight="1" x14ac:dyDescent="0.2">
      <c r="B54" s="366">
        <v>2019</v>
      </c>
      <c r="C54" s="367">
        <f>(C10-J10)*$K$52</f>
        <v>2.3262929934953158</v>
      </c>
      <c r="D54" s="367">
        <f t="shared" si="3"/>
        <v>2.4882814940479423</v>
      </c>
      <c r="F54" s="351">
        <f t="shared" si="4"/>
        <v>1.0913850658609059E-2</v>
      </c>
      <c r="G54" s="351">
        <f t="shared" si="4"/>
        <v>-2.1053008226674885E-2</v>
      </c>
    </row>
    <row r="55" spans="1:11" ht="11.3" customHeight="1" x14ac:dyDescent="0.2">
      <c r="B55" s="366">
        <v>2020</v>
      </c>
      <c r="C55" s="367">
        <f t="shared" si="2"/>
        <v>2.4165714054827774</v>
      </c>
      <c r="D55" s="367">
        <f t="shared" si="3"/>
        <v>2.6899287726984467</v>
      </c>
      <c r="F55" s="351">
        <f t="shared" si="4"/>
        <v>3.8807842451442864E-2</v>
      </c>
      <c r="G55" s="351">
        <f t="shared" si="4"/>
        <v>8.1038772796748093E-2</v>
      </c>
    </row>
    <row r="56" spans="1:11" ht="11.3" customHeight="1" x14ac:dyDescent="0.2">
      <c r="B56" s="366">
        <v>2021</v>
      </c>
      <c r="C56" s="367">
        <f t="shared" si="2"/>
        <v>2.443266487615734</v>
      </c>
      <c r="D56" s="367">
        <f t="shared" si="3"/>
        <v>2.706066892101973</v>
      </c>
      <c r="F56" s="351">
        <f t="shared" si="4"/>
        <v>1.1046676325139781E-2</v>
      </c>
      <c r="G56" s="351">
        <f t="shared" si="4"/>
        <v>5.999459750503755E-3</v>
      </c>
    </row>
    <row r="57" spans="1:11" ht="11.3" customHeight="1" x14ac:dyDescent="0.2">
      <c r="B57" s="366">
        <v>2022</v>
      </c>
      <c r="C57" s="367">
        <f t="shared" si="2"/>
        <v>2.4552620137703607</v>
      </c>
      <c r="D57" s="367">
        <f t="shared" si="3"/>
        <v>2.6848365906760154</v>
      </c>
      <c r="F57" s="351">
        <f t="shared" si="4"/>
        <v>4.9096266066059879E-3</v>
      </c>
      <c r="G57" s="351">
        <f t="shared" si="4"/>
        <v>-7.8454459082002437E-3</v>
      </c>
    </row>
    <row r="58" spans="1:11" ht="11.3" customHeight="1" x14ac:dyDescent="0.2">
      <c r="B58" s="366">
        <v>2023</v>
      </c>
      <c r="C58" s="367">
        <f t="shared" si="2"/>
        <v>2.4998682373937777</v>
      </c>
      <c r="D58" s="367">
        <f t="shared" si="3"/>
        <v>2.7248542761682155</v>
      </c>
      <c r="F58" s="351">
        <f t="shared" si="4"/>
        <v>1.81676022246271E-2</v>
      </c>
      <c r="G58" s="351">
        <f t="shared" si="4"/>
        <v>1.4905073042871475E-2</v>
      </c>
    </row>
    <row r="59" spans="1:11" ht="11.3" customHeight="1" x14ac:dyDescent="0.2">
      <c r="B59" s="366">
        <v>2024</v>
      </c>
      <c r="C59" s="367">
        <f t="shared" si="2"/>
        <v>2.5455502052508558</v>
      </c>
      <c r="D59" s="367">
        <f t="shared" si="3"/>
        <v>2.7976626018010173</v>
      </c>
      <c r="F59" s="351">
        <f t="shared" si="4"/>
        <v>1.8273750261615263E-2</v>
      </c>
      <c r="G59" s="351">
        <f t="shared" si="4"/>
        <v>2.6720080508374044E-2</v>
      </c>
    </row>
    <row r="60" spans="1:11" ht="11.3" customHeight="1" x14ac:dyDescent="0.2">
      <c r="B60" s="366">
        <v>2025</v>
      </c>
      <c r="C60" s="367">
        <f t="shared" si="2"/>
        <v>2.5835278884963122</v>
      </c>
      <c r="D60" s="367">
        <f t="shared" si="3"/>
        <v>2.8537235456143208</v>
      </c>
      <c r="F60" s="351">
        <f t="shared" si="4"/>
        <v>1.4919243457511611E-2</v>
      </c>
      <c r="G60" s="351">
        <f t="shared" si="4"/>
        <v>2.003849348281439E-2</v>
      </c>
    </row>
    <row r="61" spans="1:11" ht="11.3" customHeight="1" x14ac:dyDescent="0.2">
      <c r="B61" s="366">
        <v>2026</v>
      </c>
      <c r="C61" s="367">
        <f t="shared" si="2"/>
        <v>2.6123294734286384</v>
      </c>
      <c r="D61" s="367">
        <f t="shared" si="3"/>
        <v>2.8827930886557587</v>
      </c>
      <c r="F61" s="351">
        <f t="shared" si="4"/>
        <v>1.1148161032273451E-2</v>
      </c>
      <c r="G61" s="351">
        <f t="shared" si="4"/>
        <v>1.0186530887377865E-2</v>
      </c>
    </row>
    <row r="62" spans="1:11" ht="11.3" customHeight="1" x14ac:dyDescent="0.2">
      <c r="B62" s="366">
        <v>2027</v>
      </c>
      <c r="C62" s="367">
        <f t="shared" si="2"/>
        <v>2.6794011484481159</v>
      </c>
      <c r="D62" s="367">
        <f t="shared" si="3"/>
        <v>2.9813997169103654</v>
      </c>
      <c r="F62" s="351">
        <f t="shared" si="4"/>
        <v>2.5675044324116936E-2</v>
      </c>
      <c r="G62" s="351">
        <f t="shared" si="4"/>
        <v>3.4205239579156554E-2</v>
      </c>
    </row>
    <row r="63" spans="1:11" ht="11.3" customHeight="1" x14ac:dyDescent="0.2">
      <c r="B63" s="366">
        <v>2028</v>
      </c>
      <c r="C63" s="367">
        <f t="shared" si="2"/>
        <v>2.7052121644108635</v>
      </c>
      <c r="D63" s="367">
        <f t="shared" si="3"/>
        <v>3.0168200627276178</v>
      </c>
      <c r="F63" s="351">
        <f t="shared" si="4"/>
        <v>9.6331286480553224E-3</v>
      </c>
      <c r="G63" s="351">
        <f t="shared" si="4"/>
        <v>1.1880441799316577E-2</v>
      </c>
    </row>
    <row r="64" spans="1:11" ht="11.3" customHeight="1" x14ac:dyDescent="0.2">
      <c r="B64" s="366">
        <v>2029</v>
      </c>
      <c r="C64" s="367">
        <f t="shared" si="2"/>
        <v>2.7864112950662241</v>
      </c>
      <c r="D64" s="367">
        <f t="shared" si="3"/>
        <v>3.1329055788806146</v>
      </c>
      <c r="F64" s="351">
        <f t="shared" si="4"/>
        <v>3.001580863918818E-2</v>
      </c>
      <c r="G64" s="351">
        <f t="shared" si="4"/>
        <v>3.8479429909399343E-2</v>
      </c>
    </row>
    <row r="65" spans="2:7" ht="11.3" customHeight="1" x14ac:dyDescent="0.2">
      <c r="B65" s="366">
        <v>2030</v>
      </c>
      <c r="C65" s="367">
        <f t="shared" si="2"/>
        <v>2.8032691851570002</v>
      </c>
      <c r="D65" s="367">
        <f t="shared" si="3"/>
        <v>3.1650644637712668</v>
      </c>
      <c r="F65" s="351">
        <f t="shared" si="4"/>
        <v>6.0500365185232052E-3</v>
      </c>
      <c r="G65" s="351">
        <f t="shared" si="4"/>
        <v>1.0264875235129978E-2</v>
      </c>
    </row>
    <row r="66" spans="2:7" ht="11.3" customHeight="1" x14ac:dyDescent="0.2">
      <c r="B66" s="366">
        <v>2031</v>
      </c>
      <c r="C66" s="367">
        <f t="shared" si="2"/>
        <v>2.8416243568335413</v>
      </c>
      <c r="D66" s="367">
        <f t="shared" si="3"/>
        <v>3.2083866399594134</v>
      </c>
      <c r="F66" s="351">
        <f t="shared" si="4"/>
        <v>1.3682300608028442E-2</v>
      </c>
      <c r="G66" s="351">
        <f t="shared" si="4"/>
        <v>1.3687612585472353E-2</v>
      </c>
    </row>
    <row r="67" spans="2:7" ht="11.3" customHeight="1" x14ac:dyDescent="0.2">
      <c r="B67" s="366">
        <v>2032</v>
      </c>
      <c r="C67" s="367">
        <f t="shared" si="2"/>
        <v>2.8723114280226847</v>
      </c>
      <c r="D67" s="367">
        <f t="shared" si="3"/>
        <v>3.2545595383667623</v>
      </c>
      <c r="F67" s="351">
        <f t="shared" si="4"/>
        <v>1.0799130122652212E-2</v>
      </c>
      <c r="G67" s="351">
        <f t="shared" si="4"/>
        <v>1.4391313637913905E-2</v>
      </c>
    </row>
    <row r="68" spans="2:7" ht="11.3" customHeight="1" x14ac:dyDescent="0.2">
      <c r="B68" s="366">
        <v>2033</v>
      </c>
      <c r="C68" s="367">
        <f t="shared" si="2"/>
        <v>2.8889170071932013</v>
      </c>
      <c r="D68" s="367">
        <f t="shared" si="3"/>
        <v>3.2959199482524317</v>
      </c>
      <c r="F68" s="351">
        <f t="shared" si="4"/>
        <v>5.7812600014435223E-3</v>
      </c>
      <c r="G68" s="351">
        <f t="shared" si="4"/>
        <v>1.2708450835846596E-2</v>
      </c>
    </row>
    <row r="69" spans="2:7" ht="11.3" customHeight="1" x14ac:dyDescent="0.2">
      <c r="B69" s="366">
        <v>2034</v>
      </c>
      <c r="C69" s="367">
        <f t="shared" si="2"/>
        <v>2.9160766152452391</v>
      </c>
      <c r="D69" s="367">
        <f t="shared" si="3"/>
        <v>3.311109456831729</v>
      </c>
      <c r="F69" s="351">
        <f t="shared" si="4"/>
        <v>9.4013112818445155E-3</v>
      </c>
      <c r="G69" s="351">
        <f t="shared" si="4"/>
        <v>4.6085793398444874E-3</v>
      </c>
    </row>
    <row r="70" spans="2:7" ht="11.3" customHeight="1" x14ac:dyDescent="0.2">
      <c r="B70" s="366">
        <v>2035</v>
      </c>
      <c r="C70" s="367">
        <f t="shared" si="2"/>
        <v>2.9404109277599604</v>
      </c>
      <c r="D70" s="367">
        <f t="shared" si="3"/>
        <v>3.350940354006994</v>
      </c>
      <c r="F70" s="351">
        <f t="shared" si="4"/>
        <v>8.3448810595379008E-3</v>
      </c>
      <c r="G70" s="351">
        <f t="shared" si="4"/>
        <v>1.2029471599944497E-2</v>
      </c>
    </row>
    <row r="71" spans="2:7" ht="11.3" customHeight="1" x14ac:dyDescent="0.2">
      <c r="B71" s="366">
        <v>2036</v>
      </c>
      <c r="C71" s="367">
        <f t="shared" si="2"/>
        <v>2.9708613352176982</v>
      </c>
      <c r="D71" s="367">
        <f t="shared" si="3"/>
        <v>3.3987395821057778</v>
      </c>
      <c r="F71" s="351">
        <f t="shared" si="4"/>
        <v>1.0355833999343478E-2</v>
      </c>
      <c r="G71" s="351">
        <f t="shared" si="4"/>
        <v>1.4264422236470509E-2</v>
      </c>
    </row>
    <row r="72" spans="2:7" ht="11.3" customHeight="1" x14ac:dyDescent="0.2">
      <c r="B72" s="366">
        <v>2037</v>
      </c>
      <c r="C72" s="367">
        <f t="shared" si="2"/>
        <v>2.9729140508053846</v>
      </c>
      <c r="D72" s="367">
        <f t="shared" si="3"/>
        <v>3.3938684166258986</v>
      </c>
      <c r="F72" s="351">
        <f t="shared" si="4"/>
        <v>6.9094964593352515E-4</v>
      </c>
      <c r="G72" s="351">
        <f t="shared" si="4"/>
        <v>-1.4332270426147264E-3</v>
      </c>
    </row>
    <row r="73" spans="2:7" ht="11.3" customHeight="1" x14ac:dyDescent="0.2">
      <c r="B73" s="366">
        <v>2038</v>
      </c>
      <c r="C73" s="367">
        <f t="shared" si="2"/>
        <v>2.9947409013063724</v>
      </c>
      <c r="D73" s="367">
        <f t="shared" si="3"/>
        <v>3.4211893863129856</v>
      </c>
      <c r="F73" s="351">
        <f t="shared" si="4"/>
        <v>7.3419043160951603E-3</v>
      </c>
      <c r="G73" s="351">
        <f t="shared" si="4"/>
        <v>8.0500969198591399E-3</v>
      </c>
    </row>
    <row r="74" spans="2:7" ht="11.3" customHeight="1" x14ac:dyDescent="0.2">
      <c r="B74" s="366">
        <v>2039</v>
      </c>
      <c r="C74" s="367">
        <f t="shared" si="2"/>
        <v>3.018573525828486</v>
      </c>
      <c r="D74" s="367">
        <f t="shared" si="3"/>
        <v>3.4456224717073431</v>
      </c>
      <c r="F74" s="351">
        <f t="shared" si="4"/>
        <v>7.9581590887269904E-3</v>
      </c>
      <c r="G74" s="351">
        <f t="shared" si="4"/>
        <v>7.1416933222423484E-3</v>
      </c>
    </row>
    <row r="75" spans="2:7" ht="11.3" customHeight="1" x14ac:dyDescent="0.2">
      <c r="B75" s="366">
        <v>2040</v>
      </c>
      <c r="C75" s="367">
        <f t="shared" si="2"/>
        <v>3.0447013973655119</v>
      </c>
      <c r="D75" s="367">
        <f t="shared" si="3"/>
        <v>3.4672713354351252</v>
      </c>
      <c r="F75" s="351">
        <f t="shared" si="4"/>
        <v>8.6557015469268528E-3</v>
      </c>
      <c r="G75" s="351">
        <f t="shared" si="4"/>
        <v>6.2830051479942917E-3</v>
      </c>
    </row>
    <row r="76" spans="2:7" ht="11.3" customHeight="1" x14ac:dyDescent="0.2">
      <c r="B76" s="366">
        <v>2041</v>
      </c>
      <c r="C76" s="367">
        <f t="shared" si="2"/>
        <v>3.0583819301697739</v>
      </c>
      <c r="D76" s="367">
        <f t="shared" si="3"/>
        <v>3.4733297313692448</v>
      </c>
      <c r="F76" s="351">
        <f t="shared" si="4"/>
        <v>4.4932264346511097E-3</v>
      </c>
      <c r="G76" s="351">
        <f t="shared" si="4"/>
        <v>1.7473094396172062E-3</v>
      </c>
    </row>
    <row r="77" spans="2:7" ht="11.3" customHeight="1" x14ac:dyDescent="0.2">
      <c r="B77" s="366">
        <v>2042</v>
      </c>
      <c r="C77" s="367">
        <f t="shared" si="2"/>
        <v>3.0872940233733761</v>
      </c>
      <c r="D77" s="367">
        <f t="shared" si="3"/>
        <v>3.4988062886702536</v>
      </c>
      <c r="F77" s="351">
        <f t="shared" si="4"/>
        <v>9.4533952474658012E-3</v>
      </c>
      <c r="G77" s="351">
        <f t="shared" si="4"/>
        <v>7.3349089408121237E-3</v>
      </c>
    </row>
    <row r="78" spans="2:7" ht="11.3" customHeight="1" x14ac:dyDescent="0.2">
      <c r="B78" s="366">
        <v>2043</v>
      </c>
      <c r="C78" s="367">
        <f t="shared" si="2"/>
        <v>3.0942208382888508</v>
      </c>
      <c r="D78" s="367">
        <f t="shared" si="3"/>
        <v>3.5020305875233282</v>
      </c>
      <c r="F78" s="351">
        <f t="shared" si="4"/>
        <v>2.243652487593728E-3</v>
      </c>
      <c r="G78" s="351">
        <f t="shared" si="4"/>
        <v>9.2154254538634461E-4</v>
      </c>
    </row>
    <row r="79" spans="2:7" ht="11.3" customHeight="1" x14ac:dyDescent="0.2">
      <c r="B79" s="366">
        <v>2044</v>
      </c>
      <c r="C79" s="367">
        <f t="shared" si="2"/>
        <v>3.0956329970828573</v>
      </c>
      <c r="D79" s="367">
        <f t="shared" si="3"/>
        <v>3.4884556732438257</v>
      </c>
      <c r="F79" s="351">
        <f t="shared" si="4"/>
        <v>4.5638591031771369E-4</v>
      </c>
      <c r="G79" s="351">
        <f t="shared" si="4"/>
        <v>-3.876298033451131E-3</v>
      </c>
    </row>
    <row r="80" spans="2:7" ht="11.3" customHeight="1" x14ac:dyDescent="0.2">
      <c r="B80" s="366">
        <v>2045</v>
      </c>
      <c r="C80" s="367">
        <f t="shared" si="2"/>
        <v>3.1045215783008095</v>
      </c>
      <c r="D80" s="367">
        <f t="shared" si="3"/>
        <v>3.4970616271131161</v>
      </c>
      <c r="F80" s="351">
        <f t="shared" si="4"/>
        <v>2.8713291356980974E-3</v>
      </c>
      <c r="G80" s="351">
        <f t="shared" si="4"/>
        <v>2.4669810011626048E-3</v>
      </c>
    </row>
    <row r="81" spans="2:7" ht="11.3" customHeight="1" x14ac:dyDescent="0.2">
      <c r="B81" s="366">
        <v>2046</v>
      </c>
      <c r="C81" s="367">
        <f t="shared" si="2"/>
        <v>3.1166608630030255</v>
      </c>
      <c r="D81" s="367">
        <f t="shared" si="3"/>
        <v>3.4813117535830114</v>
      </c>
      <c r="F81" s="351">
        <f t="shared" si="4"/>
        <v>3.9101949836857219E-3</v>
      </c>
      <c r="G81" s="351">
        <f t="shared" si="4"/>
        <v>-4.5037449177315336E-3</v>
      </c>
    </row>
    <row r="82" spans="2:7" ht="11.3" customHeight="1" x14ac:dyDescent="0.2">
      <c r="B82" s="366">
        <v>2047</v>
      </c>
      <c r="C82" s="367">
        <f t="shared" si="2"/>
        <v>3.1261743538258044</v>
      </c>
      <c r="D82" s="367">
        <f t="shared" si="3"/>
        <v>3.4642171997608306</v>
      </c>
      <c r="F82" s="351">
        <f t="shared" si="4"/>
        <v>3.0524626325920678E-3</v>
      </c>
      <c r="G82" s="351">
        <f t="shared" si="4"/>
        <v>-4.9103771888819869E-3</v>
      </c>
    </row>
    <row r="83" spans="2:7" ht="11.3" customHeight="1" x14ac:dyDescent="0.2">
      <c r="B83" s="366">
        <v>2048</v>
      </c>
      <c r="C83" s="367">
        <f t="shared" si="2"/>
        <v>3.1436532417241936</v>
      </c>
      <c r="D83" s="367">
        <f t="shared" si="3"/>
        <v>3.4704350014313925</v>
      </c>
      <c r="F83" s="351">
        <f t="shared" si="4"/>
        <v>5.5911430138240181E-3</v>
      </c>
      <c r="G83" s="351">
        <f t="shared" si="4"/>
        <v>1.7948648459429339E-3</v>
      </c>
    </row>
    <row r="84" spans="2:7" ht="11.3" customHeight="1" x14ac:dyDescent="0.2">
      <c r="B84" s="366">
        <v>2049</v>
      </c>
      <c r="C84" s="367">
        <f t="shared" si="2"/>
        <v>3.1459044810204557</v>
      </c>
      <c r="D84" s="367">
        <f t="shared" si="3"/>
        <v>3.4648518888586901</v>
      </c>
      <c r="F84" s="351">
        <f t="shared" si="4"/>
        <v>7.161220157434478E-4</v>
      </c>
      <c r="G84" s="351">
        <f t="shared" si="4"/>
        <v>-1.6087644835300896E-3</v>
      </c>
    </row>
    <row r="85" spans="2:7" ht="11.3" customHeight="1" x14ac:dyDescent="0.2">
      <c r="B85" s="370">
        <v>2050</v>
      </c>
      <c r="C85" s="371">
        <f t="shared" si="2"/>
        <v>3.1471699474189632</v>
      </c>
      <c r="D85" s="371">
        <f t="shared" si="3"/>
        <v>3.4661026860176474</v>
      </c>
      <c r="F85" s="351">
        <f t="shared" si="4"/>
        <v>4.0225836675666926E-4</v>
      </c>
      <c r="G85" s="351">
        <f t="shared" si="4"/>
        <v>3.6099585179361071E-4</v>
      </c>
    </row>
    <row r="86" spans="2:7" ht="11.3" customHeight="1" x14ac:dyDescent="0.2">
      <c r="B86" s="372"/>
      <c r="C86" s="373"/>
      <c r="D86" s="373"/>
      <c r="F86" s="374"/>
      <c r="G86" s="374"/>
    </row>
    <row r="87" spans="2:7" ht="11.3" customHeight="1" x14ac:dyDescent="0.2"/>
    <row r="88" spans="2:7" s="378" customFormat="1" ht="11.3" customHeight="1" x14ac:dyDescent="0.2">
      <c r="B88" s="375" t="s">
        <v>110</v>
      </c>
      <c r="C88" s="376"/>
      <c r="D88" s="376"/>
      <c r="E88" s="376"/>
      <c r="F88" s="376"/>
      <c r="G88" s="377"/>
    </row>
    <row r="90" spans="2:7" s="379" customFormat="1" ht="11.3" customHeight="1" x14ac:dyDescent="0.2">
      <c r="B90" s="379" t="s">
        <v>273</v>
      </c>
    </row>
    <row r="91" spans="2:7" s="379" customFormat="1" ht="11.3" customHeight="1" x14ac:dyDescent="0.2"/>
    <row r="92" spans="2:7" s="379" customFormat="1" ht="11.3" customHeight="1" x14ac:dyDescent="0.2">
      <c r="B92" s="379" t="s">
        <v>274</v>
      </c>
    </row>
    <row r="93" spans="2:7" ht="11.3" customHeight="1" x14ac:dyDescent="0.2"/>
    <row r="94" spans="2:7" ht="11.3" customHeight="1" x14ac:dyDescent="0.2">
      <c r="B94" s="380" t="s">
        <v>275</v>
      </c>
    </row>
    <row r="95" spans="2:7" ht="11.3" customHeight="1" x14ac:dyDescent="0.2">
      <c r="B95" s="380"/>
    </row>
    <row r="96" spans="2:7" ht="11.3" customHeight="1" x14ac:dyDescent="0.2">
      <c r="B96" s="380" t="s">
        <v>276</v>
      </c>
    </row>
    <row r="98" spans="2:2" ht="11.3" customHeight="1" x14ac:dyDescent="0.2">
      <c r="B98" s="343" t="s">
        <v>535</v>
      </c>
    </row>
  </sheetData>
  <mergeCells count="5">
    <mergeCell ref="B6:B7"/>
    <mergeCell ref="C6:E6"/>
    <mergeCell ref="F6:H6"/>
    <mergeCell ref="J6:L6"/>
    <mergeCell ref="M6:O6"/>
  </mergeCells>
  <hyperlinks>
    <hyperlink ref="B46"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P113"/>
  <sheetViews>
    <sheetView showGridLines="0" workbookViewId="0"/>
  </sheetViews>
  <sheetFormatPr defaultColWidth="9" defaultRowHeight="10.5" x14ac:dyDescent="0.25"/>
  <cols>
    <col min="1" max="1" width="0.88671875" style="382" customWidth="1"/>
    <col min="2" max="2" width="22.33203125" style="382" customWidth="1"/>
    <col min="3" max="7" width="19.44140625" style="383" customWidth="1"/>
    <col min="8" max="16384" width="9" style="382"/>
  </cols>
  <sheetData>
    <row r="1" spans="1:8" s="387" customFormat="1" ht="13.1" x14ac:dyDescent="0.25">
      <c r="A1" s="384" t="s">
        <v>277</v>
      </c>
      <c r="B1" s="385"/>
      <c r="C1" s="386"/>
      <c r="D1" s="386"/>
      <c r="E1" s="386"/>
      <c r="F1" s="386"/>
      <c r="G1" s="386"/>
    </row>
    <row r="2" spans="1:8" x14ac:dyDescent="0.25">
      <c r="C2" s="382"/>
      <c r="D2" s="382"/>
      <c r="E2" s="382"/>
      <c r="F2" s="382"/>
      <c r="G2" s="382"/>
    </row>
    <row r="3" spans="1:8" s="389" customFormat="1" x14ac:dyDescent="0.25">
      <c r="A3" s="382"/>
      <c r="B3" s="388" t="s">
        <v>278</v>
      </c>
      <c r="C3" s="383"/>
      <c r="D3" s="383"/>
      <c r="E3" s="383"/>
      <c r="F3" s="383"/>
      <c r="G3" s="383"/>
    </row>
    <row r="4" spans="1:8" s="389" customFormat="1" x14ac:dyDescent="0.25">
      <c r="B4" s="390" t="s">
        <v>279</v>
      </c>
      <c r="C4" s="391" t="s">
        <v>280</v>
      </c>
      <c r="D4" s="391" t="s">
        <v>281</v>
      </c>
      <c r="E4" s="391" t="s">
        <v>282</v>
      </c>
      <c r="F4" s="391" t="s">
        <v>283</v>
      </c>
      <c r="G4" s="391" t="s">
        <v>284</v>
      </c>
    </row>
    <row r="5" spans="1:8" s="389" customFormat="1" ht="20.95" x14ac:dyDescent="0.25">
      <c r="B5" s="392" t="s">
        <v>285</v>
      </c>
      <c r="C5" s="393" t="s">
        <v>286</v>
      </c>
      <c r="D5" s="393" t="s">
        <v>287</v>
      </c>
      <c r="E5" s="393" t="s">
        <v>288</v>
      </c>
      <c r="F5" s="393" t="s">
        <v>289</v>
      </c>
      <c r="G5" s="393" t="s">
        <v>290</v>
      </c>
    </row>
    <row r="6" spans="1:8" s="346" customFormat="1" x14ac:dyDescent="0.2">
      <c r="A6" s="382"/>
      <c r="B6" s="394" t="s">
        <v>291</v>
      </c>
      <c r="C6" s="1266" t="s">
        <v>292</v>
      </c>
      <c r="D6" s="395">
        <v>78.8</v>
      </c>
      <c r="E6" s="395">
        <v>129.80000000000001</v>
      </c>
      <c r="F6" s="396">
        <v>23028</v>
      </c>
      <c r="G6" s="397">
        <v>3.573</v>
      </c>
    </row>
    <row r="7" spans="1:8" s="346" customFormat="1" x14ac:dyDescent="0.2">
      <c r="A7" s="382"/>
      <c r="B7" s="394" t="s">
        <v>293</v>
      </c>
      <c r="C7" s="1266"/>
      <c r="D7" s="395">
        <v>190.1</v>
      </c>
      <c r="E7" s="395">
        <v>242.9</v>
      </c>
      <c r="F7" s="396">
        <v>34410</v>
      </c>
      <c r="G7" s="397">
        <v>1.429</v>
      </c>
    </row>
    <row r="8" spans="1:8" s="346" customFormat="1" x14ac:dyDescent="0.2">
      <c r="A8" s="382"/>
      <c r="B8" s="394" t="s">
        <v>294</v>
      </c>
      <c r="C8" s="1266"/>
      <c r="D8" s="395">
        <v>470.7</v>
      </c>
      <c r="E8" s="395">
        <v>343.5</v>
      </c>
      <c r="F8" s="396">
        <v>75702</v>
      </c>
      <c r="G8" s="397">
        <v>1.429</v>
      </c>
    </row>
    <row r="9" spans="1:8" s="346" customFormat="1" x14ac:dyDescent="0.2">
      <c r="A9" s="382"/>
      <c r="B9" s="394" t="s">
        <v>295</v>
      </c>
      <c r="C9" s="1266"/>
      <c r="D9" s="395">
        <v>470.7</v>
      </c>
      <c r="E9" s="395">
        <v>355.8</v>
      </c>
      <c r="F9" s="396">
        <v>87690</v>
      </c>
      <c r="G9" s="397">
        <v>1.429</v>
      </c>
    </row>
    <row r="10" spans="1:8" s="346" customFormat="1" x14ac:dyDescent="0.2">
      <c r="A10" s="382"/>
      <c r="B10" s="394" t="s">
        <v>296</v>
      </c>
      <c r="C10" s="1266"/>
      <c r="D10" s="395">
        <v>470.7</v>
      </c>
      <c r="E10" s="395">
        <v>355.8</v>
      </c>
      <c r="F10" s="396">
        <v>95349</v>
      </c>
      <c r="G10" s="397">
        <v>1.429</v>
      </c>
    </row>
    <row r="11" spans="1:8" s="346" customFormat="1" x14ac:dyDescent="0.2">
      <c r="A11" s="382"/>
      <c r="B11" s="394" t="s">
        <v>297</v>
      </c>
      <c r="C11" s="1266"/>
      <c r="D11" s="395">
        <v>45.2</v>
      </c>
      <c r="E11" s="395">
        <v>84.1</v>
      </c>
      <c r="F11" s="396">
        <v>18117</v>
      </c>
      <c r="G11" s="397">
        <v>3.573</v>
      </c>
    </row>
    <row r="12" spans="1:8" x14ac:dyDescent="0.25">
      <c r="B12" s="394" t="s">
        <v>298</v>
      </c>
      <c r="C12" s="1266"/>
      <c r="D12" s="395">
        <v>71.5</v>
      </c>
      <c r="E12" s="395">
        <v>102.1</v>
      </c>
      <c r="F12" s="396">
        <v>21369</v>
      </c>
      <c r="G12" s="397">
        <v>3.573</v>
      </c>
    </row>
    <row r="13" spans="1:8" s="398" customFormat="1" ht="20.95" x14ac:dyDescent="0.25">
      <c r="B13" s="394" t="s">
        <v>67</v>
      </c>
      <c r="C13" s="399" t="s">
        <v>232</v>
      </c>
      <c r="D13" s="400" t="s">
        <v>299</v>
      </c>
      <c r="E13" s="400" t="s">
        <v>299</v>
      </c>
      <c r="F13" s="400" t="s">
        <v>299</v>
      </c>
      <c r="G13" s="400" t="s">
        <v>299</v>
      </c>
      <c r="H13" s="401" t="s">
        <v>300</v>
      </c>
    </row>
    <row r="14" spans="1:8" s="398" customFormat="1" x14ac:dyDescent="0.25">
      <c r="B14" s="402" t="s">
        <v>301</v>
      </c>
      <c r="C14" s="399" t="s">
        <v>232</v>
      </c>
      <c r="D14" s="403">
        <v>1997</v>
      </c>
      <c r="E14" s="403">
        <v>1997</v>
      </c>
      <c r="F14" s="403">
        <v>1997</v>
      </c>
      <c r="G14" s="403">
        <v>1997</v>
      </c>
    </row>
    <row r="15" spans="1:8" s="398" customFormat="1" ht="20.95" x14ac:dyDescent="0.25">
      <c r="B15" s="402" t="s">
        <v>302</v>
      </c>
      <c r="C15" s="399" t="s">
        <v>232</v>
      </c>
      <c r="D15" s="403" t="s">
        <v>303</v>
      </c>
      <c r="E15" s="403" t="s">
        <v>304</v>
      </c>
      <c r="F15" s="403" t="s">
        <v>305</v>
      </c>
      <c r="G15" s="403" t="s">
        <v>306</v>
      </c>
    </row>
    <row r="16" spans="1:8" ht="11.3" customHeight="1" x14ac:dyDescent="0.25">
      <c r="B16" s="404"/>
      <c r="C16" s="405"/>
      <c r="D16" s="405"/>
      <c r="E16" s="406"/>
      <c r="F16" s="406"/>
      <c r="G16" s="406"/>
    </row>
    <row r="17" spans="1:8" s="408" customFormat="1" x14ac:dyDescent="0.2">
      <c r="A17" s="385"/>
      <c r="B17" s="407" t="s">
        <v>307</v>
      </c>
    </row>
    <row r="18" spans="1:8" s="346" customFormat="1" x14ac:dyDescent="0.2">
      <c r="C18" s="382"/>
      <c r="D18" s="382"/>
      <c r="E18" s="382"/>
      <c r="F18" s="382"/>
      <c r="G18" s="382"/>
    </row>
    <row r="19" spans="1:8" s="346" customFormat="1" ht="20.95" x14ac:dyDescent="0.2">
      <c r="B19" s="390" t="s">
        <v>308</v>
      </c>
      <c r="C19" s="391" t="s">
        <v>309</v>
      </c>
      <c r="D19" s="391" t="s">
        <v>310</v>
      </c>
      <c r="E19" s="391" t="s">
        <v>311</v>
      </c>
      <c r="F19" s="391" t="s">
        <v>312</v>
      </c>
      <c r="G19" s="391" t="s">
        <v>313</v>
      </c>
    </row>
    <row r="20" spans="1:8" s="346" customFormat="1" ht="11.3" customHeight="1" x14ac:dyDescent="0.2">
      <c r="B20" s="390" t="s">
        <v>314</v>
      </c>
      <c r="C20" s="409" t="s">
        <v>315</v>
      </c>
      <c r="D20" s="391" t="s">
        <v>316</v>
      </c>
      <c r="E20" s="391" t="s">
        <v>317</v>
      </c>
      <c r="F20" s="391" t="s">
        <v>318</v>
      </c>
      <c r="G20" s="391" t="s">
        <v>319</v>
      </c>
    </row>
    <row r="21" spans="1:8" s="346" customFormat="1" ht="11.3" customHeight="1" x14ac:dyDescent="0.25">
      <c r="B21" s="410">
        <v>1997</v>
      </c>
      <c r="C21" s="411">
        <f>'PRICES AND ECI'!O192</f>
        <v>100.22500000000001</v>
      </c>
      <c r="D21" s="411">
        <f>'PRICES AND ECI'!O222</f>
        <v>131.69166666666666</v>
      </c>
      <c r="E21" s="411">
        <f>'PRICES AND ECI'!O252</f>
        <v>162.73333333333332</v>
      </c>
      <c r="F21" s="411">
        <f>'PRICES AND ECI'!O282</f>
        <v>151.42499999999998</v>
      </c>
      <c r="G21" s="411">
        <f>'PRICES AND ECI'!O312</f>
        <v>141.67499999999998</v>
      </c>
      <c r="H21"/>
    </row>
    <row r="22" spans="1:8" s="346" customFormat="1" ht="11.3" customHeight="1" x14ac:dyDescent="0.25">
      <c r="B22" s="410">
        <v>1998</v>
      </c>
      <c r="C22" s="411">
        <f>'PRICES AND ECI'!O193</f>
        <v>98.708333333333329</v>
      </c>
      <c r="D22" s="411">
        <f>'PRICES AND ECI'!O223</f>
        <v>131.09166666666667</v>
      </c>
      <c r="E22" s="411">
        <f>'PRICES AND ECI'!O253</f>
        <v>167.06666666666663</v>
      </c>
      <c r="F22" s="411">
        <f>'PRICES AND ECI'!O283</f>
        <v>151.05000000000001</v>
      </c>
      <c r="G22" s="411">
        <f>'PRICES AND ECI'!O313</f>
        <v>140.70000000000002</v>
      </c>
      <c r="H22"/>
    </row>
    <row r="23" spans="1:8" s="346" customFormat="1" ht="11.3" customHeight="1" x14ac:dyDescent="0.25">
      <c r="B23" s="410">
        <v>1999</v>
      </c>
      <c r="C23" s="411">
        <f>'PRICES AND ECI'!O194</f>
        <v>97.633333333333326</v>
      </c>
      <c r="D23" s="411">
        <f>'PRICES AND ECI'!O224</f>
        <v>131.07499999999999</v>
      </c>
      <c r="E23" s="411">
        <f>'PRICES AND ECI'!O254</f>
        <v>171.85833333333332</v>
      </c>
      <c r="F23" s="411">
        <f>'PRICES AND ECI'!O284</f>
        <v>152</v>
      </c>
      <c r="G23" s="411">
        <f>'PRICES AND ECI'!O314</f>
        <v>139.54999999999998</v>
      </c>
      <c r="H23"/>
    </row>
    <row r="24" spans="1:8" s="346" customFormat="1" ht="11.3" customHeight="1" x14ac:dyDescent="0.25">
      <c r="B24" s="410">
        <v>2000</v>
      </c>
      <c r="C24" s="411">
        <f>'PRICES AND ECI'!O195</f>
        <v>97.533333333333317</v>
      </c>
      <c r="D24" s="411">
        <f>'PRICES AND ECI'!O225</f>
        <v>137.98333333333335</v>
      </c>
      <c r="E24" s="411">
        <f>'PRICES AND ECI'!O255</f>
        <v>177.31666666666669</v>
      </c>
      <c r="F24" s="411">
        <f>'PRICES AND ECI'!O285</f>
        <v>151.65</v>
      </c>
      <c r="G24" s="411">
        <f>'PRICES AND ECI'!O315</f>
        <v>139.54999999999998</v>
      </c>
      <c r="H24"/>
    </row>
    <row r="25" spans="1:8" s="346" customFormat="1" ht="11.3" customHeight="1" x14ac:dyDescent="0.25">
      <c r="B25" s="410">
        <v>2001</v>
      </c>
      <c r="C25" s="411">
        <f>'PRICES AND ECI'!O196</f>
        <v>100.51666666666667</v>
      </c>
      <c r="D25" s="411">
        <f>'PRICES AND ECI'!O226</f>
        <v>147.20833333333334</v>
      </c>
      <c r="E25" s="411">
        <f>'PRICES AND ECI'!O256</f>
        <v>183.51666666666665</v>
      </c>
      <c r="F25" s="411">
        <f>'PRICES AND ECI'!O286</f>
        <v>150.72499999999999</v>
      </c>
      <c r="G25" s="411">
        <f>'PRICES AND ECI'!O316</f>
        <v>138.92499999999998</v>
      </c>
      <c r="H25"/>
    </row>
    <row r="26" spans="1:8" s="346" customFormat="1" ht="11.3" customHeight="1" x14ac:dyDescent="0.25">
      <c r="B26" s="410">
        <v>2002</v>
      </c>
      <c r="C26" s="411">
        <f>'PRICES AND ECI'!O197</f>
        <v>101.8</v>
      </c>
      <c r="D26" s="411">
        <f>'PRICES AND ECI'!O227</f>
        <v>153.19166666666666</v>
      </c>
      <c r="E26" s="411">
        <f>'PRICES AND ECI'!O257</f>
        <v>190.2166666666667</v>
      </c>
      <c r="F26" s="411">
        <f>'PRICES AND ECI'!O287</f>
        <v>147.76666666666668</v>
      </c>
      <c r="G26" s="411">
        <f>'PRICES AND ECI'!O317</f>
        <v>137.28333333333333</v>
      </c>
      <c r="H26"/>
    </row>
    <row r="27" spans="1:8" s="346" customFormat="1" ht="11.3" customHeight="1" x14ac:dyDescent="0.25">
      <c r="B27" s="410">
        <v>2003</v>
      </c>
      <c r="C27" s="411">
        <f>'PRICES AND ECI'!O198</f>
        <v>101.71666666666665</v>
      </c>
      <c r="D27" s="411">
        <f>'PRICES AND ECI'!O228</f>
        <v>157.125</v>
      </c>
      <c r="E27" s="411">
        <f>'PRICES AND ECI'!O258</f>
        <v>195.59166666666667</v>
      </c>
      <c r="F27" s="411">
        <f>'PRICES AND ECI'!O288</f>
        <v>146.06666666666666</v>
      </c>
      <c r="G27" s="411">
        <f>'PRICES AND ECI'!O318</f>
        <v>134.68333333333331</v>
      </c>
      <c r="H27"/>
    </row>
    <row r="28" spans="1:8" s="346" customFormat="1" ht="11.3" customHeight="1" x14ac:dyDescent="0.25">
      <c r="B28" s="410">
        <v>2004</v>
      </c>
      <c r="C28" s="411">
        <f>'PRICES AND ECI'!O199</f>
        <v>101.76666666666665</v>
      </c>
      <c r="D28" s="411">
        <f>'PRICES AND ECI'!O229</f>
        <v>165.33333333333334</v>
      </c>
      <c r="E28" s="411">
        <f>'PRICES AND ECI'!O259</f>
        <v>200.15833333333333</v>
      </c>
      <c r="F28" s="411">
        <f>'PRICES AND ECI'!O289</f>
        <v>145</v>
      </c>
      <c r="G28" s="411">
        <f>'PRICES AND ECI'!O319</f>
        <v>133.94166666666669</v>
      </c>
      <c r="H28"/>
    </row>
    <row r="29" spans="1:8" s="346" customFormat="1" ht="11.3" customHeight="1" x14ac:dyDescent="0.25">
      <c r="B29" s="410">
        <v>2005</v>
      </c>
      <c r="C29" s="411">
        <f>'PRICES AND ECI'!O200</f>
        <v>104.44999999999999</v>
      </c>
      <c r="D29" s="411">
        <f>'PRICES AND ECI'!O230</f>
        <v>182.75833333333333</v>
      </c>
      <c r="E29" s="411">
        <f>'PRICES AND ECI'!O260</f>
        <v>206.91666666666666</v>
      </c>
      <c r="F29" s="411">
        <f>'PRICES AND ECI'!O290</f>
        <v>145.30000000000001</v>
      </c>
      <c r="G29" s="411">
        <f>'PRICES AND ECI'!O320</f>
        <v>135.22499999999997</v>
      </c>
      <c r="H29"/>
    </row>
    <row r="30" spans="1:8" s="346" customFormat="1" ht="11.3" customHeight="1" x14ac:dyDescent="0.25">
      <c r="B30" s="410">
        <v>2006</v>
      </c>
      <c r="C30" s="411">
        <f>'PRICES AND ECI'!O201</f>
        <v>108.35000000000001</v>
      </c>
      <c r="D30" s="411">
        <f>'PRICES AND ECI'!O231</f>
        <v>212.69166666666669</v>
      </c>
      <c r="E30" s="411">
        <f>'PRICES AND ECI'!O261</f>
        <v>215.625</v>
      </c>
      <c r="F30" s="411">
        <f>'PRICES AND ECI'!O291</f>
        <v>142.88333333333335</v>
      </c>
      <c r="G30" s="411">
        <f>'PRICES AND ECI'!O321</f>
        <v>136.42499999999998</v>
      </c>
      <c r="H30"/>
    </row>
    <row r="31" spans="1:8" s="346" customFormat="1" ht="11.3" customHeight="1" x14ac:dyDescent="0.25">
      <c r="B31" s="410">
        <v>2007</v>
      </c>
      <c r="C31" s="411">
        <f>'PRICES AND ECI'!O202</f>
        <v>111.64858333333332</v>
      </c>
      <c r="D31" s="411">
        <f>'PRICES AND ECI'!O232</f>
        <v>231.13766666666666</v>
      </c>
      <c r="E31" s="411">
        <f>'PRICES AND ECI'!O262</f>
        <v>222.96258333333333</v>
      </c>
      <c r="F31" s="411">
        <f>'PRICES AND ECI'!O292</f>
        <v>140.71433333333334</v>
      </c>
      <c r="G31" s="411">
        <f>'PRICES AND ECI'!O322</f>
        <v>135.86500000000001</v>
      </c>
      <c r="H31"/>
    </row>
    <row r="32" spans="1:8" s="346" customFormat="1" ht="11.3" customHeight="1" x14ac:dyDescent="0.25">
      <c r="B32" s="410">
        <v>2008</v>
      </c>
      <c r="C32" s="411">
        <f>'PRICES AND ECI'!O203</f>
        <v>116.83016666666664</v>
      </c>
      <c r="D32" s="411">
        <f>'PRICES AND ECI'!O233</f>
        <v>269.07816666666668</v>
      </c>
      <c r="E32" s="411">
        <f>'PRICES AND ECI'!O263</f>
        <v>233.85941666666659</v>
      </c>
      <c r="F32" s="411">
        <f>'PRICES AND ECI'!O293</f>
        <v>137.11691666666667</v>
      </c>
      <c r="G32" s="411">
        <f>'PRICES AND ECI'!O323</f>
        <v>135.40066666666667</v>
      </c>
      <c r="H32"/>
    </row>
    <row r="33" spans="1:8" s="346" customFormat="1" ht="11.3" customHeight="1" x14ac:dyDescent="0.25">
      <c r="B33" s="410">
        <v>2009</v>
      </c>
      <c r="C33" s="411">
        <f>'PRICES AND ECI'!O204</f>
        <v>120.89608333333335</v>
      </c>
      <c r="D33" s="411">
        <f>'PRICES AND ECI'!O234</f>
        <v>294.29299999999995</v>
      </c>
      <c r="E33" s="411">
        <f>'PRICES AND ECI'!O264</f>
        <v>243.33683333333332</v>
      </c>
      <c r="F33" s="411">
        <f>'PRICES AND ECI'!O294</f>
        <v>138.83983333333333</v>
      </c>
      <c r="G33" s="411">
        <f>'PRICES AND ECI'!O324</f>
        <v>136.68449999999999</v>
      </c>
      <c r="H33"/>
    </row>
    <row r="34" spans="1:8" s="346" customFormat="1" ht="11.3" customHeight="1" x14ac:dyDescent="0.25">
      <c r="B34" s="410">
        <v>2010</v>
      </c>
      <c r="C34" s="411">
        <f>'PRICES AND ECI'!O205</f>
        <v>123.53116666666665</v>
      </c>
      <c r="D34" s="411">
        <f>'PRICES AND ECI'!O235</f>
        <v>305.38408333333336</v>
      </c>
      <c r="E34" s="411">
        <f>'PRICES AND ECI'!O265</f>
        <v>247.95400000000004</v>
      </c>
      <c r="F34" s="411">
        <f>'PRICES AND ECI'!O295</f>
        <v>142.69524999999999</v>
      </c>
      <c r="G34" s="411">
        <f>'PRICES AND ECI'!O325</f>
        <v>138.09433333333331</v>
      </c>
      <c r="H34"/>
    </row>
    <row r="35" spans="1:8" s="412" customFormat="1" ht="11.3" customHeight="1" x14ac:dyDescent="0.25">
      <c r="B35" s="410">
        <v>2011</v>
      </c>
      <c r="C35" s="411">
        <f>'PRICES AND ECI'!O206</f>
        <v>130.64841666666663</v>
      </c>
      <c r="D35" s="411">
        <f>'PRICES AND ECI'!O236</f>
        <v>334.56433333333337</v>
      </c>
      <c r="E35" s="411">
        <f>'PRICES AND ECI'!O266</f>
        <v>253.09924999999998</v>
      </c>
      <c r="F35" s="411">
        <f>'PRICES AND ECI'!O296</f>
        <v>146.54708333333335</v>
      </c>
      <c r="G35" s="411">
        <f>'PRICES AND ECI'!O326</f>
        <v>142.226</v>
      </c>
      <c r="H35"/>
    </row>
    <row r="36" spans="1:8" s="412" customFormat="1" ht="11.3" customHeight="1" x14ac:dyDescent="0.25">
      <c r="B36" s="410">
        <v>2012</v>
      </c>
      <c r="C36" s="411">
        <f>'PRICES AND ECI'!O207</f>
        <v>135.12799999999999</v>
      </c>
      <c r="D36" s="411">
        <f>'PRICES AND ECI'!O237</f>
        <v>359.59608333333335</v>
      </c>
      <c r="E36" s="411">
        <f>'PRICES AND ECI'!O267</f>
        <v>257.58233333333334</v>
      </c>
      <c r="F36" s="411">
        <f>'PRICES AND ECI'!O297</f>
        <v>149.39250000000001</v>
      </c>
      <c r="G36" s="411">
        <f>'PRICES AND ECI'!O327</f>
        <v>144.17783333333335</v>
      </c>
      <c r="H36"/>
    </row>
    <row r="37" spans="1:8" s="412" customFormat="1" ht="11.3" customHeight="1" x14ac:dyDescent="0.25">
      <c r="B37" s="410">
        <v>2013</v>
      </c>
      <c r="C37" s="411">
        <f>'PRICES AND ECI'!O208</f>
        <v>131.0395</v>
      </c>
      <c r="D37" s="411">
        <f>'PRICES AND ECI'!O238</f>
        <v>360.88499999999999</v>
      </c>
      <c r="E37" s="411">
        <f>'PRICES AND ECI'!O268</f>
        <v>261.64116666666672</v>
      </c>
      <c r="F37" s="411">
        <f>'PRICES AND ECI'!O298</f>
        <v>151.84825000000001</v>
      </c>
      <c r="G37" s="411">
        <f>'PRICES AND ECI'!O328</f>
        <v>144.92341666666667</v>
      </c>
      <c r="H37"/>
    </row>
    <row r="38" spans="1:8" s="413" customFormat="1" ht="11.3" customHeight="1" x14ac:dyDescent="0.25">
      <c r="B38" s="350">
        <v>2014</v>
      </c>
      <c r="C38" s="411">
        <f>'PRICES AND ECI'!O209</f>
        <v>128.01158333333333</v>
      </c>
      <c r="D38" s="411">
        <f>'PRICES AND ECI'!O239</f>
        <v>367.0024166666667</v>
      </c>
      <c r="E38" s="411">
        <f>'PRICES AND ECI'!O269</f>
        <v>266.02516666666668</v>
      </c>
      <c r="F38" s="411">
        <f>'PRICES AND ECI'!O299</f>
        <v>153.56250000000003</v>
      </c>
      <c r="G38" s="411">
        <f>'PRICES AND ECI'!O329</f>
        <v>144.46900000000002</v>
      </c>
      <c r="H38"/>
    </row>
    <row r="39" spans="1:8" s="413" customFormat="1" ht="11.3" customHeight="1" x14ac:dyDescent="0.25">
      <c r="B39" s="350">
        <v>2015</v>
      </c>
      <c r="C39" s="411">
        <f>'PRICES AND ECI'!O210</f>
        <v>126.53450000000002</v>
      </c>
      <c r="D39" s="411">
        <f>'PRICES AND ECI'!O240</f>
        <v>369.02133333333336</v>
      </c>
      <c r="E39" s="411">
        <f>'PRICES AND ECI'!O270</f>
        <v>270.71650000000005</v>
      </c>
      <c r="F39" s="411">
        <f>'PRICES AND ECI'!O300</f>
        <v>155.44125</v>
      </c>
      <c r="G39" s="411">
        <f>'PRICES AND ECI'!O330</f>
        <v>144.39549999999997</v>
      </c>
      <c r="H39"/>
    </row>
    <row r="40" spans="1:8" s="413" customFormat="1" ht="11.3" customHeight="1" x14ac:dyDescent="0.25">
      <c r="B40" s="350">
        <v>2016</v>
      </c>
      <c r="C40" s="411">
        <f>'PRICES AND ECI'!O211</f>
        <v>125.42125</v>
      </c>
      <c r="D40" s="411">
        <f>'PRICES AND ECI'!O241</f>
        <v>367.09883333333329</v>
      </c>
      <c r="E40" s="411">
        <f>'PRICES AND ECI'!O271</f>
        <v>275.35116666666664</v>
      </c>
      <c r="F40" s="411">
        <f>'PRICES AND ECI'!O301</f>
        <v>156.43600000000001</v>
      </c>
      <c r="G40" s="411">
        <f>'PRICES AND ECI'!O331</f>
        <v>143.69024999999999</v>
      </c>
      <c r="H40"/>
    </row>
    <row r="41" spans="1:8" s="413" customFormat="1" ht="11.3" customHeight="1" x14ac:dyDescent="0.25">
      <c r="B41" s="350">
        <v>2017</v>
      </c>
      <c r="C41" s="411">
        <f>'PRICES AND ECI'!O212</f>
        <v>124.01425</v>
      </c>
      <c r="D41" s="411">
        <f>'PRICES AND ECI'!O242</f>
        <v>374.48533333333336</v>
      </c>
      <c r="E41" s="411">
        <f>'PRICES AND ECI'!O272</f>
        <v>280.8265833333333</v>
      </c>
      <c r="F41" s="411">
        <f>'PRICES AND ECI'!O302</f>
        <v>156.57399999999998</v>
      </c>
      <c r="G41" s="411">
        <f>'PRICES AND ECI'!O332</f>
        <v>142.65908333333331</v>
      </c>
      <c r="H41"/>
    </row>
    <row r="42" spans="1:8" s="413" customFormat="1" ht="11.3" customHeight="1" x14ac:dyDescent="0.25">
      <c r="B42" s="372"/>
      <c r="C42" s="414"/>
      <c r="D42" s="414"/>
      <c r="E42" s="414"/>
      <c r="F42" s="414"/>
      <c r="G42" s="414"/>
      <c r="H42"/>
    </row>
    <row r="43" spans="1:8" s="418" customFormat="1" ht="11.3" customHeight="1" x14ac:dyDescent="0.25">
      <c r="A43" s="415"/>
      <c r="B43" s="416">
        <v>2017</v>
      </c>
      <c r="C43" s="417">
        <v>124.01425</v>
      </c>
      <c r="D43" s="417">
        <v>374.48533333333336</v>
      </c>
      <c r="E43" s="417">
        <v>280.8265833333333</v>
      </c>
      <c r="F43" s="417">
        <v>156.57399999999998</v>
      </c>
      <c r="G43" s="417">
        <v>142.65908333333331</v>
      </c>
      <c r="H43"/>
    </row>
    <row r="44" spans="1:8" ht="11.3" customHeight="1" x14ac:dyDescent="0.25"/>
    <row r="45" spans="1:8" s="419" customFormat="1" x14ac:dyDescent="0.2">
      <c r="B45" s="361" t="s">
        <v>320</v>
      </c>
    </row>
    <row r="46" spans="1:8" s="419" customFormat="1" x14ac:dyDescent="0.2">
      <c r="B46" s="361"/>
    </row>
    <row r="48" spans="1:8" s="389" customFormat="1" x14ac:dyDescent="0.25">
      <c r="B48" s="390" t="s">
        <v>279</v>
      </c>
      <c r="C48" s="391" t="s">
        <v>280</v>
      </c>
      <c r="D48" s="391" t="s">
        <v>281</v>
      </c>
      <c r="E48" s="391" t="s">
        <v>282</v>
      </c>
      <c r="F48" s="391" t="s">
        <v>283</v>
      </c>
      <c r="G48" s="391" t="s">
        <v>284</v>
      </c>
    </row>
    <row r="49" spans="2:7" s="389" customFormat="1" ht="20.95" x14ac:dyDescent="0.25">
      <c r="B49" s="392" t="s">
        <v>285</v>
      </c>
      <c r="C49" s="420" t="s">
        <v>286</v>
      </c>
      <c r="D49" s="420" t="s">
        <v>287</v>
      </c>
      <c r="E49" s="420" t="s">
        <v>288</v>
      </c>
      <c r="F49" s="420" t="s">
        <v>289</v>
      </c>
      <c r="G49" s="420" t="s">
        <v>290</v>
      </c>
    </row>
    <row r="50" spans="2:7" x14ac:dyDescent="0.25">
      <c r="B50" s="421" t="s">
        <v>291</v>
      </c>
      <c r="C50" s="1267" t="s">
        <v>321</v>
      </c>
      <c r="D50" s="422">
        <f t="shared" ref="D50:D56" si="0">D6*C$43/C$21</f>
        <v>97.503845347967058</v>
      </c>
      <c r="E50" s="422">
        <f t="shared" ref="E50:F54" si="1">E6*E$43/E$21</f>
        <v>223.99400153625567</v>
      </c>
      <c r="F50" s="423">
        <f t="shared" si="1"/>
        <v>23811.035641406637</v>
      </c>
      <c r="G50" s="424">
        <f t="shared" ref="G50:G56" si="2">G6*D$43/D$21</f>
        <v>10.160370279060938</v>
      </c>
    </row>
    <row r="51" spans="2:7" x14ac:dyDescent="0.25">
      <c r="B51" s="421" t="s">
        <v>293</v>
      </c>
      <c r="C51" s="1268"/>
      <c r="D51" s="425">
        <f t="shared" si="0"/>
        <v>235.22184010975303</v>
      </c>
      <c r="E51" s="425">
        <f t="shared" si="1"/>
        <v>419.16905218148304</v>
      </c>
      <c r="F51" s="426">
        <f t="shared" si="1"/>
        <v>35580.064982664691</v>
      </c>
      <c r="G51" s="427">
        <f t="shared" si="2"/>
        <v>4.0635793811301655</v>
      </c>
    </row>
    <row r="52" spans="2:7" x14ac:dyDescent="0.25">
      <c r="B52" s="421" t="s">
        <v>294</v>
      </c>
      <c r="C52" s="1268"/>
      <c r="D52" s="425">
        <f t="shared" si="0"/>
        <v>582.42461935644792</v>
      </c>
      <c r="E52" s="425">
        <f t="shared" si="1"/>
        <v>592.77303180049159</v>
      </c>
      <c r="F52" s="426">
        <f t="shared" si="1"/>
        <v>78276.142961862308</v>
      </c>
      <c r="G52" s="427">
        <f t="shared" si="2"/>
        <v>4.0635793811301655</v>
      </c>
    </row>
    <row r="53" spans="2:7" x14ac:dyDescent="0.25">
      <c r="B53" s="421" t="s">
        <v>295</v>
      </c>
      <c r="C53" s="1268"/>
      <c r="D53" s="425">
        <f t="shared" si="0"/>
        <v>582.42461935644792</v>
      </c>
      <c r="E53" s="425">
        <f t="shared" si="1"/>
        <v>613.99896569029079</v>
      </c>
      <c r="F53" s="426">
        <f t="shared" si="1"/>
        <v>90671.77850421</v>
      </c>
      <c r="G53" s="427">
        <f t="shared" si="2"/>
        <v>4.0635793811301655</v>
      </c>
    </row>
    <row r="54" spans="2:7" x14ac:dyDescent="0.25">
      <c r="B54" s="421" t="s">
        <v>296</v>
      </c>
      <c r="C54" s="1268"/>
      <c r="D54" s="425">
        <f t="shared" si="0"/>
        <v>582.42461935644792</v>
      </c>
      <c r="E54" s="425">
        <f t="shared" si="1"/>
        <v>613.99896569029079</v>
      </c>
      <c r="F54" s="426">
        <f t="shared" si="1"/>
        <v>98591.212322932144</v>
      </c>
      <c r="G54" s="427">
        <f t="shared" si="2"/>
        <v>4.0635793811301655</v>
      </c>
    </row>
    <row r="55" spans="2:7" x14ac:dyDescent="0.25">
      <c r="B55" s="421" t="s">
        <v>297</v>
      </c>
      <c r="C55" s="1268"/>
      <c r="D55" s="425">
        <f t="shared" si="0"/>
        <v>55.928601646295839</v>
      </c>
      <c r="E55" s="425">
        <f>E11*E$43/E$21</f>
        <v>145.13016586439983</v>
      </c>
      <c r="F55" s="426">
        <f>F11*G$43/G$21</f>
        <v>18242.841805187931</v>
      </c>
      <c r="G55" s="427">
        <f t="shared" si="2"/>
        <v>10.160370279060938</v>
      </c>
    </row>
    <row r="56" spans="2:7" x14ac:dyDescent="0.25">
      <c r="B56" s="421" t="s">
        <v>298</v>
      </c>
      <c r="C56" s="1269"/>
      <c r="D56" s="428">
        <f t="shared" si="0"/>
        <v>88.471128710401587</v>
      </c>
      <c r="E56" s="428">
        <f>E12*E$43/E$21</f>
        <v>176.19250814215485</v>
      </c>
      <c r="F56" s="429">
        <f>F12*G$43/G$21</f>
        <v>21517.430398800068</v>
      </c>
      <c r="G56" s="430">
        <f t="shared" si="2"/>
        <v>10.160370279060938</v>
      </c>
    </row>
    <row r="59" spans="2:7" s="378" customFormat="1" x14ac:dyDescent="0.2">
      <c r="B59" s="375" t="s">
        <v>110</v>
      </c>
      <c r="C59" s="376"/>
      <c r="D59" s="376"/>
      <c r="E59" s="376"/>
      <c r="F59" s="376"/>
      <c r="G59" s="377"/>
    </row>
    <row r="61" spans="2:7" x14ac:dyDescent="0.25">
      <c r="B61" s="398" t="s">
        <v>322</v>
      </c>
    </row>
    <row r="62" spans="2:7" x14ac:dyDescent="0.25">
      <c r="B62" s="398" t="s">
        <v>323</v>
      </c>
    </row>
    <row r="64" spans="2:7" x14ac:dyDescent="0.25">
      <c r="B64" s="431" t="s">
        <v>324</v>
      </c>
    </row>
    <row r="65" spans="2:16" x14ac:dyDescent="0.25">
      <c r="C65" s="269" t="s">
        <v>325</v>
      </c>
    </row>
    <row r="66" spans="2:16" s="346" customFormat="1" x14ac:dyDescent="0.2">
      <c r="B66" s="432"/>
      <c r="C66" s="433" t="s">
        <v>326</v>
      </c>
      <c r="D66" s="434"/>
      <c r="E66" s="434"/>
    </row>
    <row r="68" spans="2:16" ht="20.95" x14ac:dyDescent="0.25">
      <c r="D68" s="435" t="s">
        <v>327</v>
      </c>
    </row>
    <row r="69" spans="2:16" ht="11.3" customHeight="1" x14ac:dyDescent="0.25">
      <c r="C69" s="436" t="s">
        <v>328</v>
      </c>
      <c r="D69" s="382"/>
      <c r="E69" s="382"/>
      <c r="F69" s="382"/>
      <c r="G69" s="382"/>
      <c r="P69" s="269"/>
    </row>
    <row r="70" spans="2:16" ht="11.3" customHeight="1" x14ac:dyDescent="0.2">
      <c r="C70" s="437" t="s">
        <v>329</v>
      </c>
      <c r="D70" s="438">
        <f>10.26*(1-$K$70*(1-$H$70))</f>
        <v>10.26</v>
      </c>
      <c r="E70" s="439">
        <v>9.1199999999999992</v>
      </c>
      <c r="F70" s="440">
        <v>1</v>
      </c>
      <c r="G70" s="382"/>
      <c r="H70" s="441">
        <v>1</v>
      </c>
      <c r="I70" s="269" t="s">
        <v>330</v>
      </c>
      <c r="K70" s="442">
        <f>'FUEL COSTS'!I9</f>
        <v>0</v>
      </c>
      <c r="L70" s="269" t="s">
        <v>331</v>
      </c>
    </row>
    <row r="71" spans="2:16" ht="11.3" customHeight="1" x14ac:dyDescent="0.2">
      <c r="C71" s="437" t="s">
        <v>332</v>
      </c>
      <c r="D71" s="438">
        <v>7.91</v>
      </c>
      <c r="E71" s="439">
        <v>7.74</v>
      </c>
      <c r="F71" s="440">
        <v>1</v>
      </c>
      <c r="G71" s="382"/>
      <c r="K71" s="269" t="s">
        <v>67</v>
      </c>
      <c r="L71" s="269" t="s">
        <v>333</v>
      </c>
    </row>
    <row r="72" spans="2:16" ht="11.3" customHeight="1" x14ac:dyDescent="0.25">
      <c r="C72" s="437" t="s">
        <v>309</v>
      </c>
      <c r="D72" s="438">
        <v>0</v>
      </c>
      <c r="E72" s="443"/>
      <c r="F72" s="440">
        <v>1</v>
      </c>
      <c r="G72" s="382"/>
    </row>
    <row r="73" spans="2:16" ht="11.3" customHeight="1" x14ac:dyDescent="0.25">
      <c r="C73" s="436" t="s">
        <v>334</v>
      </c>
      <c r="D73" s="444">
        <f>SUMPRODUCT(D70:D72,$F$70:$F$72)</f>
        <v>18.170000000000002</v>
      </c>
      <c r="E73" s="443"/>
      <c r="F73" s="269"/>
      <c r="G73" s="382"/>
      <c r="H73" s="269"/>
    </row>
    <row r="74" spans="2:16" ht="11.3" customHeight="1" x14ac:dyDescent="0.25">
      <c r="D74"/>
      <c r="E74" s="443"/>
      <c r="F74" s="269"/>
      <c r="G74" s="382"/>
      <c r="H74" s="269"/>
    </row>
    <row r="75" spans="2:16" ht="11.3" customHeight="1" x14ac:dyDescent="0.25">
      <c r="C75" s="436" t="s">
        <v>335</v>
      </c>
      <c r="D75" s="382"/>
      <c r="E75" s="443"/>
      <c r="F75" s="269"/>
      <c r="G75" s="382"/>
      <c r="H75" s="269"/>
    </row>
    <row r="76" spans="2:16" ht="11.3" customHeight="1" x14ac:dyDescent="0.2">
      <c r="C76" s="437" t="s">
        <v>336</v>
      </c>
      <c r="D76" s="445">
        <v>1178</v>
      </c>
      <c r="E76" s="446">
        <v>1230</v>
      </c>
      <c r="F76" s="447">
        <v>0</v>
      </c>
      <c r="G76" s="382"/>
      <c r="H76" s="269"/>
    </row>
    <row r="77" spans="2:16" ht="11.3" customHeight="1" x14ac:dyDescent="0.2">
      <c r="C77" s="437" t="s">
        <v>337</v>
      </c>
      <c r="D77" s="445">
        <v>718</v>
      </c>
      <c r="E77" s="446">
        <v>617</v>
      </c>
      <c r="F77" s="447">
        <v>0</v>
      </c>
      <c r="G77" s="382"/>
      <c r="H77" s="269"/>
    </row>
    <row r="78" spans="2:16" ht="11.3" customHeight="1" x14ac:dyDescent="0.2">
      <c r="C78" s="437" t="s">
        <v>338</v>
      </c>
      <c r="D78" s="448"/>
      <c r="E78" s="446"/>
      <c r="F78" s="269"/>
      <c r="G78" s="382"/>
      <c r="H78" s="269"/>
    </row>
    <row r="79" spans="2:16" ht="11.3" customHeight="1" x14ac:dyDescent="0.2">
      <c r="C79" s="449">
        <v>10000</v>
      </c>
      <c r="D79" s="450">
        <f>D80-206</f>
        <v>2966</v>
      </c>
      <c r="E79" s="446">
        <v>2755</v>
      </c>
      <c r="F79" s="447">
        <v>0</v>
      </c>
      <c r="G79" s="382"/>
      <c r="H79" s="269"/>
    </row>
    <row r="80" spans="2:16" ht="11.3" customHeight="1" x14ac:dyDescent="0.2">
      <c r="C80" s="449">
        <v>15000</v>
      </c>
      <c r="D80" s="450">
        <v>3172</v>
      </c>
      <c r="E80" s="446">
        <v>3033</v>
      </c>
      <c r="F80" s="447">
        <v>1</v>
      </c>
      <c r="G80" s="382"/>
      <c r="H80" s="269"/>
    </row>
    <row r="81" spans="2:11" ht="11.3" customHeight="1" x14ac:dyDescent="0.2">
      <c r="C81" s="449">
        <v>20000</v>
      </c>
      <c r="D81" s="450">
        <f>D80+510</f>
        <v>3682</v>
      </c>
      <c r="E81" s="446">
        <v>3252</v>
      </c>
      <c r="F81" s="447">
        <v>0</v>
      </c>
      <c r="G81" s="382"/>
      <c r="H81" s="269"/>
    </row>
    <row r="82" spans="2:11" ht="11.3" customHeight="1" x14ac:dyDescent="0.2">
      <c r="C82" s="437" t="s">
        <v>339</v>
      </c>
      <c r="D82" s="450">
        <v>674</v>
      </c>
      <c r="E82" s="446">
        <v>566</v>
      </c>
      <c r="F82" s="447">
        <v>0</v>
      </c>
      <c r="G82" s="382"/>
      <c r="H82" s="269"/>
    </row>
    <row r="83" spans="2:11" ht="11.3" customHeight="1" x14ac:dyDescent="0.2">
      <c r="C83" s="436" t="s">
        <v>340</v>
      </c>
      <c r="D83" s="451">
        <f>SUMPRODUCT(D76:D82,$F$76:$F$82)</f>
        <v>3172</v>
      </c>
      <c r="E83" s="446">
        <v>3033</v>
      </c>
      <c r="F83" s="269"/>
      <c r="G83" s="382"/>
      <c r="H83" s="269"/>
    </row>
    <row r="84" spans="2:11" ht="11.3" customHeight="1" x14ac:dyDescent="0.25">
      <c r="C84" s="452"/>
      <c r="D84" s="453"/>
      <c r="E84"/>
      <c r="F84" s="269"/>
      <c r="G84" s="382"/>
      <c r="H84" s="269"/>
    </row>
    <row r="85" spans="2:11" ht="11.3" customHeight="1" x14ac:dyDescent="0.25">
      <c r="C85" s="437" t="s">
        <v>341</v>
      </c>
      <c r="D85" s="454">
        <f>D73/100</f>
        <v>0.18170000000000003</v>
      </c>
      <c r="E85" s="382"/>
      <c r="F85" s="269"/>
      <c r="G85" s="382"/>
      <c r="H85" s="269"/>
    </row>
    <row r="86" spans="2:11" ht="11.3" customHeight="1" x14ac:dyDescent="0.25">
      <c r="C86" s="437" t="s">
        <v>342</v>
      </c>
      <c r="D86" s="455">
        <f>IF($F$86=0,"n/a",D83/$F$86)</f>
        <v>0.21146666666666666</v>
      </c>
      <c r="E86" s="382"/>
      <c r="F86" s="456">
        <f>SUMPRODUCT(C79:C81,F79:F81)</f>
        <v>15000</v>
      </c>
      <c r="G86" s="382"/>
      <c r="H86" s="269"/>
    </row>
    <row r="87" spans="2:11" ht="11.3" customHeight="1" x14ac:dyDescent="0.25">
      <c r="C87" s="437" t="s">
        <v>343</v>
      </c>
      <c r="D87" s="457">
        <f>SUM(D85:D86)</f>
        <v>0.39316666666666666</v>
      </c>
      <c r="E87" s="382"/>
      <c r="F87" s="458"/>
      <c r="G87" s="382"/>
      <c r="H87" s="269"/>
    </row>
    <row r="88" spans="2:11" ht="11.3" customHeight="1" x14ac:dyDescent="0.2">
      <c r="B88" s="459"/>
      <c r="C88" s="460" t="s">
        <v>344</v>
      </c>
      <c r="D88" s="461">
        <f>D87</f>
        <v>0.39316666666666666</v>
      </c>
      <c r="E88" s="382"/>
      <c r="F88" s="382"/>
      <c r="G88" s="382"/>
      <c r="H88" s="269"/>
      <c r="I88" s="368" t="s">
        <v>272</v>
      </c>
      <c r="J88" s="346"/>
      <c r="K88" s="369">
        <f>'INFLATION ADJUSTMENT'!C25</f>
        <v>1</v>
      </c>
    </row>
    <row r="89" spans="2:11" ht="11.3" customHeight="1" x14ac:dyDescent="0.25">
      <c r="C89" s="382"/>
      <c r="D89" s="382"/>
      <c r="E89" s="382"/>
      <c r="F89" s="462"/>
      <c r="G89" s="269"/>
      <c r="H89" s="269"/>
    </row>
    <row r="90" spans="2:11" ht="11.3" customHeight="1" x14ac:dyDescent="0.25">
      <c r="C90" s="382"/>
      <c r="D90" s="382"/>
      <c r="E90" s="382"/>
      <c r="F90" s="462"/>
      <c r="G90" s="269"/>
      <c r="H90" s="269"/>
    </row>
    <row r="91" spans="2:11" x14ac:dyDescent="0.25">
      <c r="B91" s="431" t="s">
        <v>345</v>
      </c>
      <c r="C91" s="382"/>
      <c r="D91" s="382"/>
      <c r="E91" s="382"/>
      <c r="F91" s="462"/>
      <c r="G91" s="269"/>
      <c r="H91" s="269"/>
      <c r="I91" s="269"/>
      <c r="K91" s="269"/>
    </row>
    <row r="92" spans="2:11" x14ac:dyDescent="0.25">
      <c r="C92" s="382" t="s">
        <v>346</v>
      </c>
      <c r="D92" s="382"/>
      <c r="E92" s="382"/>
      <c r="F92" s="462"/>
      <c r="G92" s="269"/>
      <c r="H92" s="269"/>
      <c r="I92" s="269"/>
      <c r="K92" s="269"/>
    </row>
    <row r="93" spans="2:11" ht="15.05" x14ac:dyDescent="0.25">
      <c r="C93" s="463" t="s">
        <v>347</v>
      </c>
      <c r="D93" s="382"/>
      <c r="E93" s="382"/>
      <c r="F93" s="462"/>
      <c r="G93" s="269"/>
      <c r="H93" s="269"/>
      <c r="I93" s="269"/>
      <c r="K93" s="269"/>
    </row>
    <row r="94" spans="2:11" ht="15.05" x14ac:dyDescent="0.25">
      <c r="C94" s="463"/>
      <c r="D94" s="382"/>
      <c r="E94" s="382"/>
      <c r="F94" s="462"/>
      <c r="G94" s="269"/>
      <c r="H94" s="269"/>
      <c r="I94" s="269"/>
      <c r="K94" s="269"/>
    </row>
    <row r="95" spans="2:11" ht="20.95" x14ac:dyDescent="0.25">
      <c r="C95" s="464"/>
      <c r="D95" s="465" t="s">
        <v>348</v>
      </c>
      <c r="E95" s="466" t="s">
        <v>349</v>
      </c>
      <c r="F95" s="382"/>
      <c r="G95" s="269"/>
      <c r="H95" s="269"/>
      <c r="I95" s="269"/>
      <c r="K95" s="269"/>
    </row>
    <row r="96" spans="2:11" x14ac:dyDescent="0.25">
      <c r="C96" s="467" t="s">
        <v>350</v>
      </c>
      <c r="D96" s="453"/>
      <c r="E96" s="462"/>
      <c r="F96" s="382"/>
      <c r="G96" s="269"/>
      <c r="H96" s="269"/>
      <c r="I96" s="269"/>
      <c r="K96" s="269"/>
    </row>
    <row r="97" spans="2:13" x14ac:dyDescent="0.25">
      <c r="C97" s="468" t="s">
        <v>258</v>
      </c>
      <c r="D97" s="469">
        <f>E97*$K$110</f>
        <v>0.34204800000000002</v>
      </c>
      <c r="E97" s="470">
        <v>0.33600000000000002</v>
      </c>
      <c r="F97" s="447">
        <v>1</v>
      </c>
      <c r="G97" s="269"/>
      <c r="H97" s="441">
        <v>0</v>
      </c>
      <c r="I97" s="269" t="s">
        <v>330</v>
      </c>
      <c r="K97" s="442">
        <f>'FUEL COSTS'!P8</f>
        <v>0</v>
      </c>
      <c r="L97" s="269" t="s">
        <v>351</v>
      </c>
    </row>
    <row r="98" spans="2:13" x14ac:dyDescent="0.25">
      <c r="C98" s="468" t="s">
        <v>352</v>
      </c>
      <c r="D98" s="469">
        <f t="shared" ref="D98:D103" si="3">E98*$K$110</f>
        <v>0.25958999999999999</v>
      </c>
      <c r="E98" s="470">
        <v>0.255</v>
      </c>
      <c r="F98" s="447">
        <v>1</v>
      </c>
      <c r="G98" s="269"/>
      <c r="K98" s="269" t="s">
        <v>67</v>
      </c>
      <c r="L98" s="269" t="s">
        <v>333</v>
      </c>
    </row>
    <row r="99" spans="2:13" x14ac:dyDescent="0.25">
      <c r="C99" s="468" t="s">
        <v>353</v>
      </c>
      <c r="D99" s="469">
        <f t="shared" si="3"/>
        <v>0.168988</v>
      </c>
      <c r="E99" s="470">
        <v>0.16600000000000001</v>
      </c>
      <c r="F99" s="447">
        <v>1</v>
      </c>
      <c r="G99" s="269"/>
      <c r="H99" s="269"/>
      <c r="I99" s="269"/>
      <c r="K99" s="269"/>
    </row>
    <row r="100" spans="2:13" x14ac:dyDescent="0.25">
      <c r="C100" s="468" t="s">
        <v>354</v>
      </c>
      <c r="D100" s="469">
        <f t="shared" si="3"/>
        <v>7.6350000000000001E-2</v>
      </c>
      <c r="E100" s="470">
        <v>7.4999999999999997E-2</v>
      </c>
      <c r="F100" s="447">
        <v>1</v>
      </c>
      <c r="G100" s="269"/>
      <c r="H100" s="269"/>
      <c r="I100" s="269"/>
      <c r="K100" s="269"/>
    </row>
    <row r="101" spans="2:13" x14ac:dyDescent="0.25">
      <c r="C101" s="468" t="s">
        <v>355</v>
      </c>
      <c r="D101" s="469">
        <f t="shared" si="3"/>
        <v>2.2395999999999999E-2</v>
      </c>
      <c r="E101" s="470">
        <v>2.1999999999999999E-2</v>
      </c>
      <c r="F101" s="447">
        <v>1</v>
      </c>
      <c r="G101" s="269"/>
      <c r="H101" s="269"/>
      <c r="I101" s="269"/>
      <c r="J101" s="269"/>
      <c r="K101" s="269"/>
      <c r="M101" s="269"/>
    </row>
    <row r="102" spans="2:13" x14ac:dyDescent="0.25">
      <c r="C102" s="468" t="s">
        <v>309</v>
      </c>
      <c r="D102" s="469">
        <f t="shared" si="3"/>
        <v>3.5630000000000002E-2</v>
      </c>
      <c r="E102" s="470">
        <v>3.5000000000000003E-2</v>
      </c>
      <c r="F102" s="447">
        <v>1</v>
      </c>
      <c r="G102" s="269"/>
      <c r="H102" s="269"/>
      <c r="I102" s="269"/>
      <c r="J102" s="269"/>
      <c r="K102" s="269"/>
      <c r="M102" s="269"/>
    </row>
    <row r="103" spans="2:13" x14ac:dyDescent="0.25">
      <c r="B103" s="269"/>
      <c r="C103" s="468" t="s">
        <v>356</v>
      </c>
      <c r="D103" s="469">
        <f t="shared" si="3"/>
        <v>2.4432000000000002E-2</v>
      </c>
      <c r="E103" s="470">
        <v>2.4E-2</v>
      </c>
      <c r="F103" s="447">
        <v>0</v>
      </c>
      <c r="G103" s="269"/>
      <c r="H103" s="269"/>
      <c r="I103" s="269"/>
      <c r="J103" s="269"/>
      <c r="K103" s="269"/>
      <c r="M103" s="269"/>
    </row>
    <row r="104" spans="2:13" x14ac:dyDescent="0.25">
      <c r="C104" s="467" t="s">
        <v>357</v>
      </c>
      <c r="D104" s="471"/>
      <c r="E104" s="472"/>
      <c r="F104" s="473"/>
    </row>
    <row r="105" spans="2:13" x14ac:dyDescent="0.25">
      <c r="C105" s="468" t="s">
        <v>358</v>
      </c>
      <c r="D105" s="469">
        <f t="shared" ref="D105:D106" si="4">E105*$K$110</f>
        <v>0.53241400000000005</v>
      </c>
      <c r="E105" s="474">
        <v>0.52300000000000002</v>
      </c>
      <c r="F105" s="447">
        <v>0</v>
      </c>
    </row>
    <row r="106" spans="2:13" x14ac:dyDescent="0.25">
      <c r="C106" s="468" t="s">
        <v>359</v>
      </c>
      <c r="D106" s="469">
        <f t="shared" si="4"/>
        <v>0.15779000000000001</v>
      </c>
      <c r="E106" s="474">
        <v>0.155</v>
      </c>
      <c r="F106" s="447">
        <v>0</v>
      </c>
    </row>
    <row r="107" spans="2:13" x14ac:dyDescent="0.25">
      <c r="C107" s="468"/>
      <c r="D107" s="471"/>
    </row>
    <row r="108" spans="2:13" x14ac:dyDescent="0.25">
      <c r="C108" s="464" t="s">
        <v>360</v>
      </c>
      <c r="D108" s="475">
        <f>SUMPRODUCT(D97:D106,F97:F106)</f>
        <v>0.90500200000000008</v>
      </c>
    </row>
    <row r="109" spans="2:13" x14ac:dyDescent="0.2">
      <c r="C109" s="476"/>
      <c r="D109" s="471"/>
      <c r="J109" s="346"/>
      <c r="K109" s="346"/>
    </row>
    <row r="110" spans="2:13" x14ac:dyDescent="0.2">
      <c r="C110" s="464" t="s">
        <v>361</v>
      </c>
      <c r="D110" s="461">
        <f>D108</f>
        <v>0.90500200000000008</v>
      </c>
      <c r="I110" s="368" t="s">
        <v>362</v>
      </c>
      <c r="J110" s="346"/>
      <c r="K110" s="369">
        <f>'INFLATION ADJUSTMENT'!C24</f>
        <v>1.018</v>
      </c>
    </row>
    <row r="111" spans="2:13" x14ac:dyDescent="0.25">
      <c r="C111" s="471"/>
    </row>
    <row r="112" spans="2:13" x14ac:dyDescent="0.25">
      <c r="C112" s="471"/>
      <c r="D112" s="471"/>
    </row>
    <row r="113" spans="2:3" x14ac:dyDescent="0.25">
      <c r="B113" s="343" t="s">
        <v>109</v>
      </c>
      <c r="C113" s="471"/>
    </row>
  </sheetData>
  <mergeCells count="2">
    <mergeCell ref="C6:C12"/>
    <mergeCell ref="C50:C56"/>
  </mergeCells>
  <hyperlinks>
    <hyperlink ref="H13" r:id="rId1"/>
    <hyperlink ref="C66" r:id="rId2" location=".WC8bC_4zXL8"/>
    <hyperlink ref="C93" r:id="rId3"/>
  </hyperlinks>
  <pageMargins left="0.7" right="0.7" top="0.75" bottom="0.75" header="0.3" footer="0.3"/>
  <legacy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M102"/>
  <sheetViews>
    <sheetView showGridLines="0" workbookViewId="0"/>
  </sheetViews>
  <sheetFormatPr defaultColWidth="14.88671875" defaultRowHeight="10.5" x14ac:dyDescent="0.25"/>
  <cols>
    <col min="1" max="1" width="0.88671875" style="486" customWidth="1"/>
    <col min="2" max="2" width="21.6640625" style="308" customWidth="1"/>
    <col min="3" max="8" width="13.88671875" style="304" customWidth="1"/>
    <col min="9" max="9" width="13.88671875" style="309" customWidth="1"/>
    <col min="10" max="10" width="13.88671875" style="304" customWidth="1"/>
    <col min="11" max="11" width="13.88671875" style="305" customWidth="1"/>
    <col min="12" max="13" width="14.88671875" style="305"/>
    <col min="14" max="16384" width="14.88671875" style="308"/>
  </cols>
  <sheetData>
    <row r="1" spans="1:13" s="482" customFormat="1" ht="13.1" x14ac:dyDescent="0.25">
      <c r="A1" s="477" t="s">
        <v>363</v>
      </c>
      <c r="B1" s="478"/>
      <c r="C1" s="479"/>
      <c r="D1" s="479"/>
      <c r="E1" s="479"/>
      <c r="F1" s="479"/>
      <c r="G1" s="479"/>
      <c r="H1" s="479"/>
      <c r="I1" s="480"/>
      <c r="J1" s="479"/>
      <c r="K1" s="481"/>
      <c r="L1" s="481"/>
      <c r="M1" s="481"/>
    </row>
    <row r="3" spans="1:13" s="296" customFormat="1" x14ac:dyDescent="0.25">
      <c r="A3" s="306"/>
      <c r="B3" s="1273" t="s">
        <v>364</v>
      </c>
      <c r="C3" s="1274"/>
      <c r="D3" s="1274"/>
      <c r="E3" s="1274"/>
      <c r="F3" s="1274"/>
      <c r="G3" s="1274"/>
      <c r="H3" s="1274"/>
      <c r="I3" s="1274"/>
      <c r="J3" s="1274"/>
      <c r="K3" s="1275"/>
      <c r="L3" s="483"/>
      <c r="M3" s="483"/>
    </row>
    <row r="4" spans="1:13" s="296" customFormat="1" x14ac:dyDescent="0.25">
      <c r="A4" s="306"/>
      <c r="B4" s="484"/>
      <c r="C4" s="1273" t="s">
        <v>365</v>
      </c>
      <c r="D4" s="1274"/>
      <c r="E4" s="1275"/>
      <c r="F4" s="1273" t="s">
        <v>366</v>
      </c>
      <c r="G4" s="1274"/>
      <c r="H4" s="1275"/>
      <c r="I4" s="1273" t="s">
        <v>367</v>
      </c>
      <c r="J4" s="1274"/>
      <c r="K4" s="1275"/>
      <c r="L4" s="483"/>
      <c r="M4" s="483"/>
    </row>
    <row r="5" spans="1:13" s="296" customFormat="1" x14ac:dyDescent="0.25">
      <c r="A5" s="306"/>
      <c r="B5" s="484"/>
      <c r="C5" s="485" t="s">
        <v>20</v>
      </c>
      <c r="D5" s="485" t="s">
        <v>368</v>
      </c>
      <c r="E5" s="485" t="s">
        <v>19</v>
      </c>
      <c r="F5" s="485" t="s">
        <v>20</v>
      </c>
      <c r="G5" s="485" t="s">
        <v>368</v>
      </c>
      <c r="H5" s="485" t="s">
        <v>19</v>
      </c>
      <c r="I5" s="485" t="s">
        <v>20</v>
      </c>
      <c r="J5" s="485" t="s">
        <v>368</v>
      </c>
      <c r="K5" s="485" t="s">
        <v>19</v>
      </c>
      <c r="L5" s="483"/>
      <c r="M5" s="483"/>
    </row>
    <row r="6" spans="1:13" x14ac:dyDescent="0.25">
      <c r="B6" s="487" t="s">
        <v>369</v>
      </c>
      <c r="C6" s="488">
        <v>0.03</v>
      </c>
      <c r="D6" s="488">
        <v>0.01</v>
      </c>
      <c r="E6" s="488">
        <v>0</v>
      </c>
      <c r="F6" s="488">
        <v>0.3</v>
      </c>
      <c r="G6" s="488">
        <v>0.11</v>
      </c>
      <c r="H6" s="488">
        <v>0.03</v>
      </c>
      <c r="I6" s="488">
        <v>0.2</v>
      </c>
      <c r="J6" s="488">
        <v>0.06</v>
      </c>
      <c r="K6" s="488">
        <v>0.02</v>
      </c>
    </row>
    <row r="7" spans="1:13" x14ac:dyDescent="0.25">
      <c r="B7" s="487" t="s">
        <v>370</v>
      </c>
      <c r="C7" s="488">
        <v>0.03</v>
      </c>
      <c r="D7" s="488">
        <v>0.01</v>
      </c>
      <c r="E7" s="488">
        <v>0</v>
      </c>
      <c r="F7" s="488">
        <v>0.27</v>
      </c>
      <c r="G7" s="488">
        <v>0.1</v>
      </c>
      <c r="H7" s="488">
        <v>0.03</v>
      </c>
      <c r="I7" s="488">
        <v>0.17</v>
      </c>
      <c r="J7" s="488">
        <v>0.06</v>
      </c>
      <c r="K7" s="488">
        <v>0.02</v>
      </c>
    </row>
    <row r="8" spans="1:13" x14ac:dyDescent="0.25">
      <c r="B8" s="487" t="s">
        <v>371</v>
      </c>
      <c r="C8" s="488">
        <v>0.35</v>
      </c>
      <c r="D8" s="488">
        <v>0.13</v>
      </c>
      <c r="E8" s="488">
        <v>0.04</v>
      </c>
      <c r="F8" s="488">
        <v>4.55</v>
      </c>
      <c r="G8" s="488">
        <v>1.72</v>
      </c>
      <c r="H8" s="488">
        <v>0.48</v>
      </c>
      <c r="I8" s="488">
        <v>2.79</v>
      </c>
      <c r="J8" s="488">
        <v>1.06</v>
      </c>
      <c r="K8" s="488">
        <v>0.3</v>
      </c>
    </row>
    <row r="9" spans="1:13" x14ac:dyDescent="0.25">
      <c r="B9" s="487" t="s">
        <v>372</v>
      </c>
      <c r="C9" s="488">
        <v>0.27</v>
      </c>
      <c r="D9" s="488">
        <v>0.1</v>
      </c>
      <c r="E9" s="488">
        <v>0.03</v>
      </c>
      <c r="F9" s="488">
        <v>3.14</v>
      </c>
      <c r="G9" s="488">
        <v>1.19</v>
      </c>
      <c r="H9" s="488">
        <v>0.33</v>
      </c>
      <c r="I9" s="488">
        <v>1.85</v>
      </c>
      <c r="J9" s="488">
        <v>0.7</v>
      </c>
      <c r="K9" s="488">
        <v>0.2</v>
      </c>
    </row>
    <row r="10" spans="1:13" x14ac:dyDescent="0.25">
      <c r="B10" s="487" t="s">
        <v>373</v>
      </c>
      <c r="C10" s="488">
        <v>0.68</v>
      </c>
      <c r="D10" s="488">
        <v>0.26</v>
      </c>
      <c r="E10" s="488">
        <v>7.0000000000000007E-2</v>
      </c>
      <c r="F10" s="488">
        <v>9.86</v>
      </c>
      <c r="G10" s="488">
        <v>3.73</v>
      </c>
      <c r="H10" s="488">
        <v>1.05</v>
      </c>
      <c r="I10" s="488">
        <v>4.24</v>
      </c>
      <c r="J10" s="488">
        <v>1.61</v>
      </c>
      <c r="K10" s="488">
        <v>0.45</v>
      </c>
    </row>
    <row r="11" spans="1:13" x14ac:dyDescent="0.25">
      <c r="B11" s="489" t="s">
        <v>374</v>
      </c>
      <c r="C11" s="490">
        <v>0.08</v>
      </c>
      <c r="D11" s="490">
        <v>0.03</v>
      </c>
      <c r="E11" s="490">
        <v>0.01</v>
      </c>
      <c r="F11" s="490">
        <v>0.64</v>
      </c>
      <c r="G11" s="490">
        <v>0.24</v>
      </c>
      <c r="H11" s="490">
        <v>7.0000000000000007E-2</v>
      </c>
      <c r="I11" s="490">
        <v>0.42</v>
      </c>
      <c r="J11" s="490">
        <v>0.16</v>
      </c>
      <c r="K11" s="490">
        <v>0.05</v>
      </c>
    </row>
    <row r="13" spans="1:13" s="296" customFormat="1" x14ac:dyDescent="0.2">
      <c r="A13" s="306"/>
      <c r="B13" s="1270" t="s">
        <v>375</v>
      </c>
      <c r="C13" s="1271"/>
      <c r="D13" s="1271"/>
      <c r="E13" s="1271"/>
      <c r="F13" s="1271"/>
      <c r="G13" s="1271"/>
      <c r="H13" s="1271"/>
      <c r="I13" s="1271"/>
      <c r="J13" s="1271"/>
      <c r="K13" s="1272"/>
      <c r="L13" s="483"/>
      <c r="M13" s="483"/>
    </row>
    <row r="14" spans="1:13" s="296" customFormat="1" x14ac:dyDescent="0.2">
      <c r="A14" s="306"/>
      <c r="B14" s="491"/>
      <c r="C14" s="1270" t="s">
        <v>365</v>
      </c>
      <c r="D14" s="1271"/>
      <c r="E14" s="1272"/>
      <c r="F14" s="1270" t="s">
        <v>366</v>
      </c>
      <c r="G14" s="1271"/>
      <c r="H14" s="1272"/>
      <c r="I14" s="1270" t="s">
        <v>367</v>
      </c>
      <c r="J14" s="1271"/>
      <c r="K14" s="1272"/>
      <c r="L14" s="483"/>
      <c r="M14" s="483"/>
    </row>
    <row r="15" spans="1:13" s="296" customFormat="1" x14ac:dyDescent="0.2">
      <c r="A15" s="306"/>
      <c r="B15" s="491"/>
      <c r="C15" s="492" t="s">
        <v>20</v>
      </c>
      <c r="D15" s="492" t="s">
        <v>368</v>
      </c>
      <c r="E15" s="492" t="s">
        <v>19</v>
      </c>
      <c r="F15" s="492" t="s">
        <v>20</v>
      </c>
      <c r="G15" s="492" t="s">
        <v>368</v>
      </c>
      <c r="H15" s="492" t="s">
        <v>19</v>
      </c>
      <c r="I15" s="492" t="s">
        <v>20</v>
      </c>
      <c r="J15" s="492" t="s">
        <v>368</v>
      </c>
      <c r="K15" s="492" t="s">
        <v>19</v>
      </c>
      <c r="L15" s="483"/>
      <c r="M15" s="483"/>
    </row>
    <row r="16" spans="1:13" x14ac:dyDescent="0.25">
      <c r="B16" s="487" t="s">
        <v>369</v>
      </c>
      <c r="C16" s="488">
        <v>3.76</v>
      </c>
      <c r="D16" s="488">
        <v>1.28</v>
      </c>
      <c r="E16" s="488">
        <v>0.34</v>
      </c>
      <c r="F16" s="488">
        <v>18.27</v>
      </c>
      <c r="G16" s="488">
        <v>6.21</v>
      </c>
      <c r="H16" s="488">
        <v>1.64</v>
      </c>
      <c r="I16" s="488">
        <v>13.17</v>
      </c>
      <c r="J16" s="488">
        <v>4.4800000000000004</v>
      </c>
      <c r="K16" s="488">
        <v>1.19</v>
      </c>
    </row>
    <row r="17" spans="1:13" x14ac:dyDescent="0.25">
      <c r="B17" s="487" t="s">
        <v>370</v>
      </c>
      <c r="C17" s="488">
        <v>3.8</v>
      </c>
      <c r="D17" s="488">
        <v>1.29</v>
      </c>
      <c r="E17" s="488">
        <v>0.34</v>
      </c>
      <c r="F17" s="488">
        <v>17.78</v>
      </c>
      <c r="G17" s="488">
        <v>6.04</v>
      </c>
      <c r="H17" s="488">
        <v>1.6</v>
      </c>
      <c r="I17" s="488">
        <v>11.75</v>
      </c>
      <c r="J17" s="488">
        <v>4</v>
      </c>
      <c r="K17" s="488">
        <v>1.06</v>
      </c>
    </row>
    <row r="18" spans="1:13" x14ac:dyDescent="0.25">
      <c r="B18" s="487" t="s">
        <v>371</v>
      </c>
      <c r="C18" s="488">
        <v>6.96</v>
      </c>
      <c r="D18" s="488">
        <v>2.37</v>
      </c>
      <c r="E18" s="488">
        <v>0.63</v>
      </c>
      <c r="F18" s="488">
        <v>37.590000000000003</v>
      </c>
      <c r="G18" s="488">
        <v>12.78</v>
      </c>
      <c r="H18" s="488">
        <v>3.38</v>
      </c>
      <c r="I18" s="488">
        <v>24.79</v>
      </c>
      <c r="J18" s="488">
        <v>8.43</v>
      </c>
      <c r="K18" s="488">
        <v>2.23</v>
      </c>
    </row>
    <row r="19" spans="1:13" x14ac:dyDescent="0.25">
      <c r="B19" s="487" t="s">
        <v>372</v>
      </c>
      <c r="C19" s="488">
        <v>7.43</v>
      </c>
      <c r="D19" s="488">
        <v>2.5299999999999998</v>
      </c>
      <c r="E19" s="488">
        <v>0.67</v>
      </c>
      <c r="F19" s="488">
        <v>42.65</v>
      </c>
      <c r="G19" s="488">
        <v>14.5</v>
      </c>
      <c r="H19" s="488">
        <v>3.84</v>
      </c>
      <c r="I19" s="488">
        <v>26.81</v>
      </c>
      <c r="J19" s="488">
        <v>9.11</v>
      </c>
      <c r="K19" s="488">
        <v>2.41</v>
      </c>
    </row>
    <row r="20" spans="1:13" x14ac:dyDescent="0.25">
      <c r="B20" s="487" t="s">
        <v>373</v>
      </c>
      <c r="C20" s="488">
        <v>10.87</v>
      </c>
      <c r="D20" s="488">
        <v>3.7</v>
      </c>
      <c r="E20" s="488">
        <v>0.98</v>
      </c>
      <c r="F20" s="488">
        <v>49.34</v>
      </c>
      <c r="G20" s="488">
        <v>16.78</v>
      </c>
      <c r="H20" s="488">
        <v>4.4400000000000004</v>
      </c>
      <c r="I20" s="488">
        <v>25.81</v>
      </c>
      <c r="J20" s="488">
        <v>8.7799999999999994</v>
      </c>
      <c r="K20" s="488">
        <v>2.3199999999999998</v>
      </c>
    </row>
    <row r="21" spans="1:13" x14ac:dyDescent="0.25">
      <c r="B21" s="489" t="s">
        <v>374</v>
      </c>
      <c r="C21" s="490">
        <v>4.4000000000000004</v>
      </c>
      <c r="D21" s="490">
        <v>1.5</v>
      </c>
      <c r="E21" s="490">
        <v>0.4</v>
      </c>
      <c r="F21" s="490">
        <v>19.72</v>
      </c>
      <c r="G21" s="490">
        <v>6.71</v>
      </c>
      <c r="H21" s="490">
        <v>1.78</v>
      </c>
      <c r="I21" s="490">
        <v>13.81</v>
      </c>
      <c r="J21" s="490">
        <v>4.7</v>
      </c>
      <c r="K21" s="490">
        <v>1.24</v>
      </c>
    </row>
    <row r="23" spans="1:13" s="296" customFormat="1" x14ac:dyDescent="0.2">
      <c r="A23" s="306"/>
      <c r="B23" s="1270" t="s">
        <v>376</v>
      </c>
      <c r="C23" s="1271"/>
      <c r="D23" s="1271"/>
      <c r="E23" s="1271"/>
      <c r="F23" s="1271"/>
      <c r="G23" s="1271"/>
      <c r="H23" s="1271"/>
      <c r="I23" s="1271"/>
      <c r="J23" s="1271"/>
      <c r="K23" s="1272"/>
      <c r="L23" s="483"/>
      <c r="M23" s="483"/>
    </row>
    <row r="24" spans="1:13" s="296" customFormat="1" x14ac:dyDescent="0.2">
      <c r="A24" s="306"/>
      <c r="B24" s="491"/>
      <c r="C24" s="1270" t="s">
        <v>365</v>
      </c>
      <c r="D24" s="1271"/>
      <c r="E24" s="1272"/>
      <c r="F24" s="1270" t="s">
        <v>366</v>
      </c>
      <c r="G24" s="1271"/>
      <c r="H24" s="1272"/>
      <c r="I24" s="1270" t="s">
        <v>367</v>
      </c>
      <c r="J24" s="1271"/>
      <c r="K24" s="1272"/>
      <c r="L24" s="483"/>
      <c r="M24" s="483"/>
    </row>
    <row r="25" spans="1:13" s="296" customFormat="1" x14ac:dyDescent="0.2">
      <c r="A25" s="306"/>
      <c r="B25" s="491"/>
      <c r="C25" s="492" t="s">
        <v>20</v>
      </c>
      <c r="D25" s="492" t="s">
        <v>368</v>
      </c>
      <c r="E25" s="492" t="s">
        <v>19</v>
      </c>
      <c r="F25" s="492" t="s">
        <v>20</v>
      </c>
      <c r="G25" s="492" t="s">
        <v>368</v>
      </c>
      <c r="H25" s="492" t="s">
        <v>19</v>
      </c>
      <c r="I25" s="492" t="s">
        <v>20</v>
      </c>
      <c r="J25" s="492" t="s">
        <v>368</v>
      </c>
      <c r="K25" s="492" t="s">
        <v>19</v>
      </c>
      <c r="L25" s="483"/>
      <c r="M25" s="483"/>
    </row>
    <row r="26" spans="1:13" x14ac:dyDescent="0.25">
      <c r="B26" s="487" t="s">
        <v>369</v>
      </c>
      <c r="C26" s="488">
        <v>9.68</v>
      </c>
      <c r="D26" s="488">
        <v>3.15</v>
      </c>
      <c r="E26" s="488">
        <v>1.76</v>
      </c>
      <c r="F26" s="488">
        <v>4.03</v>
      </c>
      <c r="G26" s="488">
        <v>1.28</v>
      </c>
      <c r="H26" s="488">
        <v>0.78</v>
      </c>
      <c r="I26" s="488">
        <v>6.02</v>
      </c>
      <c r="J26" s="488">
        <v>1.94</v>
      </c>
      <c r="K26" s="488">
        <v>1.1299999999999999</v>
      </c>
    </row>
    <row r="27" spans="1:13" x14ac:dyDescent="0.25">
      <c r="B27" s="487" t="s">
        <v>370</v>
      </c>
      <c r="C27" s="488">
        <v>10.210000000000001</v>
      </c>
      <c r="D27" s="488">
        <v>3.31</v>
      </c>
      <c r="E27" s="488">
        <v>1.75</v>
      </c>
      <c r="F27" s="488">
        <v>4.05</v>
      </c>
      <c r="G27" s="488">
        <v>1.27</v>
      </c>
      <c r="H27" s="488">
        <v>0.74</v>
      </c>
      <c r="I27" s="488">
        <v>6.7</v>
      </c>
      <c r="J27" s="488">
        <v>2.15</v>
      </c>
      <c r="K27" s="488">
        <v>1.17</v>
      </c>
    </row>
    <row r="28" spans="1:13" x14ac:dyDescent="0.25">
      <c r="B28" s="487" t="s">
        <v>371</v>
      </c>
      <c r="C28" s="488">
        <v>14.15</v>
      </c>
      <c r="D28" s="488">
        <v>4.4000000000000004</v>
      </c>
      <c r="E28" s="488">
        <v>2.36</v>
      </c>
      <c r="F28" s="488">
        <v>6.25</v>
      </c>
      <c r="G28" s="488">
        <v>1.89</v>
      </c>
      <c r="H28" s="488">
        <v>1.08</v>
      </c>
      <c r="I28" s="488">
        <v>9.5500000000000007</v>
      </c>
      <c r="J28" s="488">
        <v>2.94</v>
      </c>
      <c r="K28" s="488">
        <v>1.62</v>
      </c>
    </row>
    <row r="29" spans="1:13" x14ac:dyDescent="0.25">
      <c r="B29" s="487" t="s">
        <v>372</v>
      </c>
      <c r="C29" s="488">
        <v>5.97</v>
      </c>
      <c r="D29" s="488">
        <v>2</v>
      </c>
      <c r="E29" s="488">
        <v>0.97</v>
      </c>
      <c r="F29" s="488">
        <v>2.21</v>
      </c>
      <c r="G29" s="488">
        <v>0.71</v>
      </c>
      <c r="H29" s="488">
        <v>0.4</v>
      </c>
      <c r="I29" s="488">
        <v>3.9</v>
      </c>
      <c r="J29" s="488">
        <v>1.29</v>
      </c>
      <c r="K29" s="488">
        <v>0.65</v>
      </c>
    </row>
    <row r="30" spans="1:13" x14ac:dyDescent="0.25">
      <c r="B30" s="487" t="s">
        <v>373</v>
      </c>
      <c r="C30" s="488">
        <v>6.9</v>
      </c>
      <c r="D30" s="488">
        <v>2.2000000000000002</v>
      </c>
      <c r="E30" s="488">
        <v>1.02</v>
      </c>
      <c r="F30" s="488">
        <v>3.67</v>
      </c>
      <c r="G30" s="488">
        <v>1.1599999999999999</v>
      </c>
      <c r="H30" s="488">
        <v>0.56000000000000005</v>
      </c>
      <c r="I30" s="488">
        <v>5.65</v>
      </c>
      <c r="J30" s="488">
        <v>1.79</v>
      </c>
      <c r="K30" s="488">
        <v>0.84</v>
      </c>
    </row>
    <row r="31" spans="1:13" x14ac:dyDescent="0.25">
      <c r="B31" s="489" t="s">
        <v>374</v>
      </c>
      <c r="C31" s="490">
        <v>9.52</v>
      </c>
      <c r="D31" s="490">
        <v>3.09</v>
      </c>
      <c r="E31" s="490">
        <v>1.68</v>
      </c>
      <c r="F31" s="490">
        <v>3.98</v>
      </c>
      <c r="G31" s="490">
        <v>1.26</v>
      </c>
      <c r="H31" s="490">
        <v>0.76</v>
      </c>
      <c r="I31" s="490">
        <v>6.12</v>
      </c>
      <c r="J31" s="490">
        <v>1.97</v>
      </c>
      <c r="K31" s="490">
        <v>1.1100000000000001</v>
      </c>
    </row>
    <row r="32" spans="1:13" x14ac:dyDescent="0.25">
      <c r="B32" s="309" t="s">
        <v>377</v>
      </c>
      <c r="H32" s="309"/>
      <c r="I32" s="304"/>
      <c r="J32" s="305"/>
      <c r="M32" s="308"/>
    </row>
    <row r="33" spans="1:13" ht="11.8" x14ac:dyDescent="0.25">
      <c r="B33" s="493" t="s">
        <v>378</v>
      </c>
      <c r="H33" s="309"/>
      <c r="I33" s="304"/>
      <c r="J33" s="305"/>
      <c r="M33" s="308"/>
    </row>
    <row r="34" spans="1:13" x14ac:dyDescent="0.25">
      <c r="K34" s="494"/>
    </row>
    <row r="35" spans="1:13" x14ac:dyDescent="0.25">
      <c r="K35" s="494"/>
    </row>
    <row r="36" spans="1:13" s="296" customFormat="1" x14ac:dyDescent="0.25">
      <c r="A36" s="306"/>
      <c r="B36" s="1278" t="s">
        <v>379</v>
      </c>
      <c r="C36" s="1278"/>
      <c r="D36" s="1278"/>
      <c r="E36" s="1278"/>
      <c r="F36" s="1278"/>
      <c r="G36" s="333"/>
      <c r="H36" s="333"/>
      <c r="I36" s="303"/>
      <c r="J36" s="333"/>
      <c r="K36" s="495"/>
      <c r="L36" s="483"/>
      <c r="M36" s="483"/>
    </row>
    <row r="37" spans="1:13" s="296" customFormat="1" x14ac:dyDescent="0.25">
      <c r="A37" s="306"/>
      <c r="B37" s="496"/>
      <c r="C37" s="496">
        <v>1990</v>
      </c>
      <c r="D37" s="496">
        <v>1994</v>
      </c>
      <c r="E37" s="496">
        <v>2000</v>
      </c>
      <c r="F37" s="496" t="s">
        <v>380</v>
      </c>
      <c r="G37" s="333"/>
      <c r="H37" s="333"/>
      <c r="I37" s="303"/>
      <c r="J37" s="333"/>
      <c r="K37" s="483"/>
      <c r="L37" s="483"/>
      <c r="M37" s="483"/>
    </row>
    <row r="38" spans="1:13" x14ac:dyDescent="0.25">
      <c r="B38" s="497" t="s">
        <v>381</v>
      </c>
      <c r="C38" s="1279">
        <v>1997283</v>
      </c>
      <c r="D38" s="498">
        <v>1595869</v>
      </c>
      <c r="E38" s="499">
        <v>1818461</v>
      </c>
      <c r="F38" s="500">
        <f t="shared" ref="F38:F43" si="0">E38/$E$43</f>
        <v>0.67504292192015503</v>
      </c>
    </row>
    <row r="39" spans="1:13" x14ac:dyDescent="0.25">
      <c r="B39" s="497" t="s">
        <v>370</v>
      </c>
      <c r="C39" s="1280"/>
      <c r="D39" s="498">
        <v>587284</v>
      </c>
      <c r="E39" s="499">
        <v>669198</v>
      </c>
      <c r="F39" s="500">
        <f t="shared" si="0"/>
        <v>0.2484174108012896</v>
      </c>
    </row>
    <row r="40" spans="1:13" x14ac:dyDescent="0.25">
      <c r="B40" s="501" t="s">
        <v>372</v>
      </c>
      <c r="C40" s="502">
        <v>64114</v>
      </c>
      <c r="D40" s="502">
        <v>71239</v>
      </c>
      <c r="E40" s="503">
        <v>83150</v>
      </c>
      <c r="F40" s="504">
        <f t="shared" si="0"/>
        <v>3.0866660850939826E-2</v>
      </c>
    </row>
    <row r="41" spans="1:13" x14ac:dyDescent="0.25">
      <c r="B41" s="501" t="s">
        <v>373</v>
      </c>
      <c r="C41" s="502">
        <v>89257</v>
      </c>
      <c r="D41" s="502">
        <v>99176</v>
      </c>
      <c r="E41" s="503">
        <v>115639</v>
      </c>
      <c r="F41" s="504">
        <f t="shared" si="0"/>
        <v>4.2927117187514498E-2</v>
      </c>
    </row>
    <row r="42" spans="1:13" x14ac:dyDescent="0.25">
      <c r="B42" s="501" t="s">
        <v>371</v>
      </c>
      <c r="C42" s="502">
        <v>5822</v>
      </c>
      <c r="D42" s="502">
        <v>6416</v>
      </c>
      <c r="E42" s="503">
        <v>7397</v>
      </c>
      <c r="F42" s="504">
        <f t="shared" si="0"/>
        <v>2.745889240101045E-3</v>
      </c>
    </row>
    <row r="43" spans="1:13" x14ac:dyDescent="0.25">
      <c r="B43" s="505" t="s">
        <v>382</v>
      </c>
      <c r="C43" s="506">
        <f>SUM(C38:C42)</f>
        <v>2156476</v>
      </c>
      <c r="D43" s="506">
        <f>SUM(D38:D42)</f>
        <v>2359984</v>
      </c>
      <c r="E43" s="506">
        <f>SUM(E38:E42)</f>
        <v>2693845</v>
      </c>
      <c r="F43" s="507">
        <f t="shared" si="0"/>
        <v>1</v>
      </c>
    </row>
    <row r="44" spans="1:13" x14ac:dyDescent="0.25">
      <c r="B44" s="309" t="s">
        <v>383</v>
      </c>
    </row>
    <row r="46" spans="1:13" s="482" customFormat="1" x14ac:dyDescent="0.25">
      <c r="A46" s="478"/>
      <c r="B46" s="478" t="s">
        <v>384</v>
      </c>
      <c r="C46" s="479"/>
      <c r="D46" s="479"/>
      <c r="E46" s="479"/>
      <c r="F46" s="479"/>
      <c r="G46" s="479"/>
      <c r="H46" s="479"/>
      <c r="I46" s="480"/>
      <c r="J46" s="479"/>
      <c r="K46" s="481"/>
      <c r="L46" s="481"/>
      <c r="M46" s="481"/>
    </row>
    <row r="48" spans="1:13" ht="11.95" customHeight="1" x14ac:dyDescent="0.25">
      <c r="B48" s="508" t="s">
        <v>385</v>
      </c>
      <c r="C48" s="509"/>
      <c r="D48" s="509"/>
      <c r="E48" s="509"/>
      <c r="F48" s="509"/>
      <c r="G48" s="509"/>
      <c r="H48" s="509"/>
    </row>
    <row r="49" spans="1:13" ht="11.95" customHeight="1" x14ac:dyDescent="0.25">
      <c r="B49" s="508"/>
      <c r="C49" s="509"/>
      <c r="D49" s="509"/>
      <c r="E49" s="509"/>
      <c r="F49" s="509"/>
      <c r="G49" s="509"/>
      <c r="H49" s="509"/>
    </row>
    <row r="50" spans="1:13" x14ac:dyDescent="0.2">
      <c r="B50" s="1276" t="s">
        <v>386</v>
      </c>
      <c r="C50" s="1277" t="s">
        <v>387</v>
      </c>
      <c r="D50" s="1277"/>
      <c r="E50" s="1277"/>
      <c r="F50" s="1277"/>
      <c r="G50" s="1277"/>
      <c r="H50" s="1277"/>
    </row>
    <row r="51" spans="1:13" x14ac:dyDescent="0.2">
      <c r="B51" s="1276"/>
      <c r="C51" s="510" t="s">
        <v>388</v>
      </c>
      <c r="D51" s="510" t="s">
        <v>389</v>
      </c>
      <c r="E51" s="510" t="s">
        <v>390</v>
      </c>
      <c r="F51" s="510" t="s">
        <v>391</v>
      </c>
      <c r="G51" s="510" t="s">
        <v>392</v>
      </c>
      <c r="H51" s="510" t="s">
        <v>393</v>
      </c>
    </row>
    <row r="52" spans="1:13" x14ac:dyDescent="0.25">
      <c r="B52" s="511" t="s">
        <v>394</v>
      </c>
      <c r="C52" s="512">
        <v>0</v>
      </c>
      <c r="D52" s="512">
        <v>0.78</v>
      </c>
      <c r="E52" s="512">
        <v>0.98</v>
      </c>
      <c r="F52" s="512">
        <v>1.1399999999999999</v>
      </c>
      <c r="G52" s="512">
        <v>0.01</v>
      </c>
      <c r="H52" s="512">
        <v>2.91</v>
      </c>
    </row>
    <row r="53" spans="1:13" x14ac:dyDescent="0.25">
      <c r="B53" s="511" t="s">
        <v>395</v>
      </c>
      <c r="C53" s="512">
        <v>0.1</v>
      </c>
      <c r="D53" s="512">
        <v>7.7</v>
      </c>
      <c r="E53" s="512">
        <v>1.19</v>
      </c>
      <c r="F53" s="512">
        <v>1.33</v>
      </c>
      <c r="G53" s="512">
        <v>0.09</v>
      </c>
      <c r="H53" s="512">
        <v>10.41</v>
      </c>
    </row>
    <row r="54" spans="1:13" x14ac:dyDescent="0.25">
      <c r="B54" s="511" t="s">
        <v>396</v>
      </c>
      <c r="C54" s="512">
        <v>1</v>
      </c>
      <c r="D54" s="512">
        <v>2.4500000000000002</v>
      </c>
      <c r="E54" s="512">
        <v>0.47</v>
      </c>
      <c r="F54" s="512">
        <v>3.85</v>
      </c>
      <c r="G54" s="512">
        <v>0.09</v>
      </c>
      <c r="H54" s="512">
        <v>7.86</v>
      </c>
    </row>
    <row r="55" spans="1:13" x14ac:dyDescent="0.25">
      <c r="B55" s="511" t="s">
        <v>397</v>
      </c>
      <c r="C55" s="512">
        <v>3.1</v>
      </c>
      <c r="D55" s="512">
        <v>24.48</v>
      </c>
      <c r="E55" s="512">
        <v>0.86</v>
      </c>
      <c r="F55" s="512">
        <v>4.49</v>
      </c>
      <c r="G55" s="512">
        <v>1.5</v>
      </c>
      <c r="H55" s="512">
        <v>34.43</v>
      </c>
    </row>
    <row r="56" spans="1:13" x14ac:dyDescent="0.25">
      <c r="B56" s="511" t="s">
        <v>398</v>
      </c>
      <c r="C56" s="512">
        <v>5.6</v>
      </c>
      <c r="D56" s="512">
        <v>3.27</v>
      </c>
      <c r="E56" s="512">
        <v>0.47</v>
      </c>
      <c r="F56" s="512">
        <v>3.85</v>
      </c>
      <c r="G56" s="512">
        <v>0.11</v>
      </c>
      <c r="H56" s="512">
        <v>13.3</v>
      </c>
    </row>
    <row r="57" spans="1:13" x14ac:dyDescent="0.25">
      <c r="B57" s="511" t="s">
        <v>399</v>
      </c>
      <c r="C57" s="512">
        <v>18.100000000000001</v>
      </c>
      <c r="D57" s="512">
        <v>32.64</v>
      </c>
      <c r="E57" s="512">
        <v>0.86</v>
      </c>
      <c r="F57" s="512">
        <v>4.49</v>
      </c>
      <c r="G57" s="512">
        <v>1.68</v>
      </c>
      <c r="H57" s="512">
        <v>57.77</v>
      </c>
    </row>
    <row r="58" spans="1:13" x14ac:dyDescent="0.25">
      <c r="B58" s="511" t="s">
        <v>400</v>
      </c>
      <c r="C58" s="512">
        <v>3.3</v>
      </c>
      <c r="D58" s="512">
        <v>1.88</v>
      </c>
      <c r="E58" s="512">
        <v>0.88</v>
      </c>
      <c r="F58" s="512">
        <v>3.85</v>
      </c>
      <c r="G58" s="512">
        <v>0.17</v>
      </c>
      <c r="H58" s="512">
        <v>10.08</v>
      </c>
    </row>
    <row r="59" spans="1:13" x14ac:dyDescent="0.25">
      <c r="B59" s="511" t="s">
        <v>401</v>
      </c>
      <c r="C59" s="512">
        <v>10.5</v>
      </c>
      <c r="D59" s="512">
        <v>18.39</v>
      </c>
      <c r="E59" s="512">
        <v>1.1499999999999999</v>
      </c>
      <c r="F59" s="512">
        <v>4.49</v>
      </c>
      <c r="G59" s="512">
        <v>2.75</v>
      </c>
      <c r="H59" s="512">
        <v>37.28</v>
      </c>
    </row>
    <row r="60" spans="1:13" x14ac:dyDescent="0.25">
      <c r="B60" s="511" t="s">
        <v>402</v>
      </c>
      <c r="C60" s="512">
        <v>12.7</v>
      </c>
      <c r="D60" s="512">
        <v>2.23</v>
      </c>
      <c r="E60" s="512">
        <v>0.88</v>
      </c>
      <c r="F60" s="512">
        <v>3.85</v>
      </c>
      <c r="G60" s="512">
        <v>0.19</v>
      </c>
      <c r="H60" s="512">
        <v>19.850000000000001</v>
      </c>
    </row>
    <row r="61" spans="1:13" x14ac:dyDescent="0.25">
      <c r="B61" s="511" t="s">
        <v>403</v>
      </c>
      <c r="C61" s="512">
        <v>40.9</v>
      </c>
      <c r="D61" s="512">
        <v>20.059999999999999</v>
      </c>
      <c r="E61" s="512">
        <v>1.1499999999999999</v>
      </c>
      <c r="F61" s="512">
        <v>4.49</v>
      </c>
      <c r="G61" s="512">
        <v>3.04</v>
      </c>
      <c r="H61" s="512">
        <v>69.64</v>
      </c>
    </row>
    <row r="62" spans="1:13" s="296" customFormat="1" x14ac:dyDescent="0.25">
      <c r="A62" s="306"/>
      <c r="B62" s="308" t="s">
        <v>67</v>
      </c>
      <c r="C62" s="296" t="s">
        <v>404</v>
      </c>
      <c r="D62" s="513"/>
      <c r="E62" s="513"/>
      <c r="F62" s="513"/>
      <c r="G62" s="513"/>
      <c r="H62" s="513"/>
      <c r="I62" s="303"/>
      <c r="J62" s="333"/>
      <c r="K62" s="483"/>
      <c r="L62" s="483"/>
      <c r="M62" s="483"/>
    </row>
    <row r="63" spans="1:13" ht="11.8" x14ac:dyDescent="0.25">
      <c r="C63" s="493" t="s">
        <v>378</v>
      </c>
    </row>
    <row r="64" spans="1:13" x14ac:dyDescent="0.25">
      <c r="B64" s="308" t="s">
        <v>405</v>
      </c>
      <c r="C64" s="308"/>
      <c r="D64" s="308"/>
      <c r="E64" s="308"/>
      <c r="F64" s="308"/>
      <c r="G64" s="308"/>
      <c r="H64" s="308"/>
    </row>
    <row r="65" spans="1:13" x14ac:dyDescent="0.25">
      <c r="C65" s="308"/>
      <c r="D65" s="308"/>
      <c r="E65" s="308"/>
      <c r="F65" s="308"/>
      <c r="G65" s="308"/>
      <c r="H65" s="308"/>
    </row>
    <row r="66" spans="1:13" s="518" customFormat="1" x14ac:dyDescent="0.25">
      <c r="A66" s="514"/>
      <c r="B66" s="514" t="s">
        <v>406</v>
      </c>
      <c r="C66" s="515"/>
      <c r="D66" s="515"/>
      <c r="E66" s="515"/>
      <c r="F66" s="515"/>
      <c r="G66" s="515"/>
      <c r="H66" s="515"/>
      <c r="I66" s="516"/>
      <c r="J66" s="515"/>
      <c r="K66" s="517"/>
      <c r="L66" s="517"/>
      <c r="M66" s="517"/>
    </row>
    <row r="67" spans="1:13" s="518" customFormat="1" x14ac:dyDescent="0.25">
      <c r="A67" s="514"/>
      <c r="B67" s="514"/>
      <c r="C67" s="515"/>
      <c r="D67" s="515"/>
      <c r="E67" s="515"/>
      <c r="F67" s="515"/>
      <c r="G67" s="515"/>
      <c r="H67" s="515"/>
      <c r="I67" s="516"/>
      <c r="J67" s="515"/>
      <c r="K67" s="517"/>
      <c r="L67" s="517"/>
      <c r="M67" s="517"/>
    </row>
    <row r="69" spans="1:13" x14ac:dyDescent="0.25">
      <c r="D69" s="519" t="s">
        <v>17</v>
      </c>
      <c r="E69" s="519" t="s">
        <v>18</v>
      </c>
      <c r="F69" s="519" t="s">
        <v>19</v>
      </c>
      <c r="G69" s="519" t="s">
        <v>20</v>
      </c>
      <c r="H69" s="519" t="s">
        <v>21</v>
      </c>
      <c r="I69" s="261"/>
      <c r="J69" s="261"/>
    </row>
    <row r="70" spans="1:13" x14ac:dyDescent="0.25">
      <c r="B70" s="486" t="s">
        <v>407</v>
      </c>
    </row>
    <row r="71" spans="1:13" ht="14.4" x14ac:dyDescent="0.25">
      <c r="C71" s="309" t="s">
        <v>389</v>
      </c>
      <c r="D71" s="304" t="s">
        <v>408</v>
      </c>
      <c r="E71" s="520">
        <f>$J$16*$K$74/100</f>
        <v>6.2052480000000007E-2</v>
      </c>
      <c r="F71" s="521">
        <f>$K$16*$K$74/100</f>
        <v>1.6482690000000001E-2</v>
      </c>
      <c r="G71" s="521">
        <f>$I$16*$K$74/100</f>
        <v>0.18241767</v>
      </c>
      <c r="H71" s="522">
        <v>2017</v>
      </c>
      <c r="I71"/>
      <c r="J71"/>
      <c r="K71"/>
      <c r="L71"/>
    </row>
    <row r="72" spans="1:13" ht="14.4" x14ac:dyDescent="0.25">
      <c r="C72" s="309" t="s">
        <v>409</v>
      </c>
      <c r="D72" s="304" t="s">
        <v>408</v>
      </c>
      <c r="E72" s="523">
        <f>$J$26*$K$74/100</f>
        <v>2.6870939999999999E-2</v>
      </c>
      <c r="F72" s="521">
        <f>$K$26*$K$74/100</f>
        <v>1.565163E-2</v>
      </c>
      <c r="G72" s="521">
        <f>$I$26*$K$74/100</f>
        <v>8.3383019999999988E-2</v>
      </c>
      <c r="H72" s="304">
        <f>$H$71</f>
        <v>2017</v>
      </c>
      <c r="I72"/>
      <c r="J72"/>
      <c r="K72"/>
      <c r="L72"/>
    </row>
    <row r="73" spans="1:13" x14ac:dyDescent="0.25">
      <c r="C73" s="309" t="s">
        <v>392</v>
      </c>
      <c r="D73" s="304" t="s">
        <v>408</v>
      </c>
      <c r="E73" s="523">
        <f>$J$6*$K$74/100</f>
        <v>8.3106E-4</v>
      </c>
      <c r="F73" s="521">
        <f>$K$6*$K$74/100</f>
        <v>2.7702E-4</v>
      </c>
      <c r="G73" s="521">
        <f>$I$6*$K$74/100</f>
        <v>2.7702E-3</v>
      </c>
      <c r="H73" s="304">
        <f>$H$71</f>
        <v>2017</v>
      </c>
      <c r="J73" s="382"/>
    </row>
    <row r="74" spans="1:13" x14ac:dyDescent="0.25">
      <c r="E74" s="524"/>
      <c r="J74" s="452" t="s">
        <v>410</v>
      </c>
      <c r="K74" s="525">
        <f>'INFLATION ADJUSTMENT'!$C$27</f>
        <v>1.3851</v>
      </c>
    </row>
    <row r="75" spans="1:13" x14ac:dyDescent="0.25">
      <c r="B75" s="486" t="s">
        <v>411</v>
      </c>
      <c r="E75" s="524"/>
      <c r="J75" s="309"/>
    </row>
    <row r="76" spans="1:13" x14ac:dyDescent="0.25">
      <c r="C76" s="309" t="s">
        <v>389</v>
      </c>
      <c r="D76" s="304" t="s">
        <v>408</v>
      </c>
      <c r="E76" s="523">
        <f>$J$17*$K$74/100</f>
        <v>5.5404000000000002E-2</v>
      </c>
      <c r="F76" s="521">
        <f>$K$17*$K$74/100</f>
        <v>1.4682060000000002E-2</v>
      </c>
      <c r="G76" s="521">
        <f>$I$17*$K$74/100</f>
        <v>0.16274924999999998</v>
      </c>
      <c r="H76" s="304">
        <f t="shared" ref="H76:H78" si="1">$H$71</f>
        <v>2017</v>
      </c>
      <c r="J76" s="309"/>
    </row>
    <row r="77" spans="1:13" x14ac:dyDescent="0.25">
      <c r="C77" s="309" t="s">
        <v>409</v>
      </c>
      <c r="D77" s="304" t="s">
        <v>408</v>
      </c>
      <c r="E77" s="523">
        <f>$J$27*$K$74/100</f>
        <v>2.9779649999999998E-2</v>
      </c>
      <c r="F77" s="521">
        <f>$K$27*$K$74/100</f>
        <v>1.6205669999999998E-2</v>
      </c>
      <c r="G77" s="521">
        <f>$I$27*$K$74/100</f>
        <v>9.2801700000000001E-2</v>
      </c>
      <c r="H77" s="304">
        <f t="shared" si="1"/>
        <v>2017</v>
      </c>
    </row>
    <row r="78" spans="1:13" x14ac:dyDescent="0.25">
      <c r="C78" s="309" t="s">
        <v>392</v>
      </c>
      <c r="D78" s="304" t="s">
        <v>408</v>
      </c>
      <c r="E78" s="523">
        <f>$J$7*$K$74/100</f>
        <v>8.3106E-4</v>
      </c>
      <c r="F78" s="521">
        <f>$K$7*$K$74/100</f>
        <v>2.7702E-4</v>
      </c>
      <c r="G78" s="521">
        <f>$I$7*$K$74/100</f>
        <v>2.3546700000000001E-3</v>
      </c>
      <c r="H78" s="304">
        <f t="shared" si="1"/>
        <v>2017</v>
      </c>
    </row>
    <row r="79" spans="1:13" x14ac:dyDescent="0.25">
      <c r="E79" s="524"/>
    </row>
    <row r="80" spans="1:13" x14ac:dyDescent="0.25">
      <c r="B80" s="486" t="s">
        <v>412</v>
      </c>
      <c r="E80" s="524"/>
    </row>
    <row r="81" spans="1:13" x14ac:dyDescent="0.25">
      <c r="C81" s="309" t="s">
        <v>389</v>
      </c>
      <c r="D81" s="304" t="s">
        <v>408</v>
      </c>
      <c r="E81" s="523">
        <f>$J$19*$K$74/100</f>
        <v>0.12618260999999997</v>
      </c>
      <c r="F81" s="521">
        <f>$K$19*$K$74/100</f>
        <v>3.3380910000000007E-2</v>
      </c>
      <c r="G81" s="521">
        <f>$I$19*$K$74/100</f>
        <v>0.37134530999999993</v>
      </c>
      <c r="H81" s="304">
        <f t="shared" ref="H81:H83" si="2">$H$71</f>
        <v>2017</v>
      </c>
    </row>
    <row r="82" spans="1:13" x14ac:dyDescent="0.25">
      <c r="C82" s="309" t="s">
        <v>409</v>
      </c>
      <c r="D82" s="304" t="s">
        <v>408</v>
      </c>
      <c r="E82" s="523">
        <f>$J$29*$K$74/100</f>
        <v>1.7867790000000001E-2</v>
      </c>
      <c r="F82" s="521">
        <f>$K$29*$K$74/100</f>
        <v>9.0031499999999997E-3</v>
      </c>
      <c r="G82" s="521">
        <f>$I$29*$K$74/100</f>
        <v>5.4018900000000002E-2</v>
      </c>
      <c r="H82" s="304">
        <f t="shared" si="2"/>
        <v>2017</v>
      </c>
    </row>
    <row r="83" spans="1:13" x14ac:dyDescent="0.25">
      <c r="C83" s="309" t="s">
        <v>392</v>
      </c>
      <c r="D83" s="304" t="s">
        <v>408</v>
      </c>
      <c r="E83" s="523">
        <f>$J$9*$K$74/100</f>
        <v>9.6956999999999998E-3</v>
      </c>
      <c r="F83" s="521">
        <f>$K$9*$K$74/100</f>
        <v>2.7702E-3</v>
      </c>
      <c r="G83" s="521">
        <f>$I$9*$K$74/100</f>
        <v>2.5624350000000004E-2</v>
      </c>
      <c r="H83" s="304">
        <f t="shared" si="2"/>
        <v>2017</v>
      </c>
    </row>
    <row r="84" spans="1:13" x14ac:dyDescent="0.25">
      <c r="E84" s="524"/>
    </row>
    <row r="85" spans="1:13" x14ac:dyDescent="0.25">
      <c r="B85" s="486" t="s">
        <v>413</v>
      </c>
      <c r="E85" s="524"/>
    </row>
    <row r="86" spans="1:13" x14ac:dyDescent="0.25">
      <c r="C86" s="309" t="s">
        <v>389</v>
      </c>
      <c r="D86" s="304" t="s">
        <v>408</v>
      </c>
      <c r="E86" s="523">
        <f>$J$20*$K$74/100</f>
        <v>0.12161178</v>
      </c>
      <c r="F86" s="521">
        <f>$K$20*$K$74/100</f>
        <v>3.2134319999999994E-2</v>
      </c>
      <c r="G86" s="521">
        <f>$I$20*$K$74/100</f>
        <v>0.35749431000000004</v>
      </c>
      <c r="H86" s="304">
        <f t="shared" ref="H86:H88" si="3">$H$71</f>
        <v>2017</v>
      </c>
    </row>
    <row r="87" spans="1:13" x14ac:dyDescent="0.25">
      <c r="C87" s="309" t="s">
        <v>409</v>
      </c>
      <c r="D87" s="304" t="s">
        <v>408</v>
      </c>
      <c r="E87" s="523">
        <f>$J$30*$K$74/100</f>
        <v>2.4793289999999999E-2</v>
      </c>
      <c r="F87" s="521">
        <f>$K$30*$K$74/100</f>
        <v>1.163484E-2</v>
      </c>
      <c r="G87" s="521">
        <f>$I$30*$K$74/100</f>
        <v>7.8258149999999999E-2</v>
      </c>
      <c r="H87" s="304">
        <f t="shared" si="3"/>
        <v>2017</v>
      </c>
    </row>
    <row r="88" spans="1:13" x14ac:dyDescent="0.25">
      <c r="C88" s="309" t="s">
        <v>392</v>
      </c>
      <c r="D88" s="304" t="s">
        <v>408</v>
      </c>
      <c r="E88" s="526">
        <f>$J$10*$K$74/100</f>
        <v>2.2300110000000001E-2</v>
      </c>
      <c r="F88" s="521">
        <f>$K$10*$K$74/100</f>
        <v>6.2329500000000001E-3</v>
      </c>
      <c r="G88" s="521">
        <f>$I$10*$K$74/100</f>
        <v>5.8728240000000008E-2</v>
      </c>
      <c r="H88" s="304">
        <f t="shared" si="3"/>
        <v>2017</v>
      </c>
    </row>
    <row r="90" spans="1:13" s="482" customFormat="1" x14ac:dyDescent="0.25">
      <c r="A90" s="478"/>
      <c r="B90" s="478" t="s">
        <v>110</v>
      </c>
      <c r="C90" s="479"/>
      <c r="D90" s="479"/>
      <c r="E90" s="479"/>
      <c r="F90" s="479"/>
      <c r="G90" s="479"/>
      <c r="H90" s="479"/>
      <c r="I90" s="480"/>
      <c r="J90" s="479"/>
      <c r="K90" s="481"/>
      <c r="L90" s="481"/>
      <c r="M90" s="481"/>
    </row>
    <row r="92" spans="1:13" s="527" customFormat="1" x14ac:dyDescent="0.25">
      <c r="B92" s="527" t="s">
        <v>414</v>
      </c>
      <c r="C92" s="299"/>
      <c r="D92" s="299"/>
      <c r="E92" s="299"/>
      <c r="F92" s="299"/>
      <c r="G92" s="299"/>
      <c r="H92" s="299"/>
      <c r="I92" s="528"/>
      <c r="J92" s="299"/>
      <c r="K92" s="529"/>
      <c r="L92" s="529"/>
      <c r="M92" s="529"/>
    </row>
    <row r="93" spans="1:13" s="527" customFormat="1" x14ac:dyDescent="0.25">
      <c r="C93" s="299"/>
      <c r="D93" s="299"/>
      <c r="E93" s="299"/>
      <c r="F93" s="299"/>
      <c r="G93" s="299"/>
      <c r="H93" s="299"/>
      <c r="I93" s="528"/>
      <c r="J93" s="299"/>
      <c r="K93" s="529"/>
      <c r="L93" s="529"/>
      <c r="M93" s="529"/>
    </row>
    <row r="94" spans="1:13" s="527" customFormat="1" x14ac:dyDescent="0.25">
      <c r="B94" s="527" t="s">
        <v>415</v>
      </c>
      <c r="C94" s="299"/>
      <c r="D94" s="299"/>
      <c r="E94" s="299"/>
      <c r="F94" s="299"/>
      <c r="G94" s="299"/>
      <c r="H94" s="299"/>
      <c r="I94" s="528"/>
      <c r="J94" s="299"/>
      <c r="K94" s="529"/>
      <c r="L94" s="529"/>
      <c r="M94" s="529"/>
    </row>
    <row r="95" spans="1:13" s="527" customFormat="1" x14ac:dyDescent="0.25">
      <c r="C95" s="299"/>
      <c r="D95" s="299"/>
      <c r="E95" s="299"/>
      <c r="F95" s="299"/>
      <c r="G95" s="299"/>
      <c r="H95" s="299"/>
      <c r="I95" s="528"/>
      <c r="J95" s="299"/>
      <c r="K95" s="529"/>
      <c r="L95" s="529"/>
      <c r="M95" s="529"/>
    </row>
    <row r="96" spans="1:13" s="527" customFormat="1" x14ac:dyDescent="0.25">
      <c r="B96" s="530" t="s">
        <v>416</v>
      </c>
      <c r="C96" s="299"/>
      <c r="D96" s="299"/>
      <c r="E96" s="299"/>
      <c r="F96" s="299"/>
      <c r="G96" s="299"/>
      <c r="H96" s="299"/>
      <c r="I96" s="528"/>
      <c r="J96" s="299"/>
      <c r="K96" s="529"/>
      <c r="L96" s="529"/>
      <c r="M96" s="529"/>
    </row>
    <row r="97" spans="2:13" s="527" customFormat="1" x14ac:dyDescent="0.25">
      <c r="D97" s="299"/>
      <c r="E97" s="299"/>
      <c r="F97" s="299"/>
      <c r="G97" s="299"/>
      <c r="H97" s="299"/>
      <c r="I97" s="528"/>
      <c r="J97" s="299"/>
      <c r="K97" s="529"/>
      <c r="L97" s="529"/>
      <c r="M97" s="529"/>
    </row>
    <row r="98" spans="2:13" x14ac:dyDescent="0.25">
      <c r="B98" s="528" t="s">
        <v>417</v>
      </c>
    </row>
    <row r="99" spans="2:13" x14ac:dyDescent="0.25">
      <c r="B99" s="304"/>
    </row>
    <row r="100" spans="2:13" x14ac:dyDescent="0.25">
      <c r="B100" s="309" t="s">
        <v>418</v>
      </c>
    </row>
    <row r="102" spans="2:13" x14ac:dyDescent="0.25">
      <c r="B102" s="531" t="s">
        <v>109</v>
      </c>
    </row>
  </sheetData>
  <mergeCells count="16">
    <mergeCell ref="B50:B51"/>
    <mergeCell ref="C50:H50"/>
    <mergeCell ref="B23:K23"/>
    <mergeCell ref="C24:E24"/>
    <mergeCell ref="F24:H24"/>
    <mergeCell ref="I24:K24"/>
    <mergeCell ref="B36:F36"/>
    <mergeCell ref="C38:C39"/>
    <mergeCell ref="C14:E14"/>
    <mergeCell ref="F14:H14"/>
    <mergeCell ref="I14:K14"/>
    <mergeCell ref="B3:K3"/>
    <mergeCell ref="C4:E4"/>
    <mergeCell ref="F4:H4"/>
    <mergeCell ref="I4:K4"/>
    <mergeCell ref="B13:K13"/>
  </mergeCells>
  <hyperlinks>
    <hyperlink ref="B33" r:id="rId1"/>
    <hyperlink ref="C63" r:id="rId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44"/>
  <sheetViews>
    <sheetView showGridLines="0" workbookViewId="0"/>
  </sheetViews>
  <sheetFormatPr defaultColWidth="15.6640625" defaultRowHeight="14.4" x14ac:dyDescent="0.25"/>
  <cols>
    <col min="1" max="1" width="2.33203125" customWidth="1"/>
    <col min="3" max="9" width="8.33203125" customWidth="1"/>
    <col min="12" max="18" width="11.88671875" customWidth="1"/>
  </cols>
  <sheetData>
    <row r="1" spans="1:18" s="661" customFormat="1" ht="8.1999999999999993" customHeight="1" x14ac:dyDescent="0.3">
      <c r="A1" s="662"/>
    </row>
    <row r="2" spans="1:18" s="661" customFormat="1" ht="17.7" x14ac:dyDescent="0.3">
      <c r="A2" s="663"/>
      <c r="B2" s="664" t="s">
        <v>793</v>
      </c>
    </row>
    <row r="3" spans="1:18" s="1" customFormat="1" ht="9" customHeight="1" x14ac:dyDescent="0.25">
      <c r="J3" s="660"/>
      <c r="R3" s="660"/>
    </row>
    <row r="4" spans="1:18" x14ac:dyDescent="0.25">
      <c r="B4" s="640" t="s">
        <v>795</v>
      </c>
      <c r="K4" s="640" t="s">
        <v>796</v>
      </c>
    </row>
    <row r="5" spans="1:18" x14ac:dyDescent="0.25">
      <c r="B5" s="845" t="s">
        <v>794</v>
      </c>
      <c r="C5" s="846"/>
      <c r="D5" s="846"/>
      <c r="E5" s="846"/>
      <c r="F5" s="846"/>
      <c r="G5" s="846"/>
      <c r="H5" s="846"/>
      <c r="I5" s="846"/>
      <c r="K5" s="845" t="s">
        <v>794</v>
      </c>
      <c r="L5" s="846"/>
      <c r="M5" s="846"/>
      <c r="N5" s="846"/>
      <c r="O5" s="846"/>
      <c r="P5" s="846"/>
      <c r="Q5" s="846"/>
      <c r="R5" s="846"/>
    </row>
    <row r="6" spans="1:18" x14ac:dyDescent="0.25">
      <c r="B6" s="847">
        <v>25</v>
      </c>
      <c r="C6" s="848" t="s">
        <v>537</v>
      </c>
      <c r="D6" s="849" t="s">
        <v>536</v>
      </c>
      <c r="E6" s="849" t="s">
        <v>538</v>
      </c>
      <c r="F6" s="849" t="s">
        <v>539</v>
      </c>
      <c r="G6" s="849" t="s">
        <v>540</v>
      </c>
      <c r="H6" s="849" t="s">
        <v>542</v>
      </c>
      <c r="I6" s="850" t="s">
        <v>541</v>
      </c>
      <c r="K6" s="847">
        <v>25</v>
      </c>
      <c r="L6" s="848" t="s">
        <v>537</v>
      </c>
      <c r="M6" s="849" t="s">
        <v>536</v>
      </c>
      <c r="N6" s="849" t="s">
        <v>538</v>
      </c>
      <c r="O6" s="849" t="s">
        <v>539</v>
      </c>
      <c r="P6" s="849" t="s">
        <v>540</v>
      </c>
      <c r="Q6" s="849" t="s">
        <v>542</v>
      </c>
      <c r="R6" s="850" t="s">
        <v>541</v>
      </c>
    </row>
    <row r="7" spans="1:18" x14ac:dyDescent="0.25">
      <c r="B7" s="851">
        <v>2016</v>
      </c>
      <c r="C7" s="859">
        <f>INDEX(Emission.Raw!$B$6:$H$21,MATCH(Vehicle.Em!$B$6,Emission.Raw!$A$6:$A$21,0),MATCH(Vehicle.Em!C6,Emission.Raw!$B$5:$H$5,0))</f>
        <v>374.24449539184519</v>
      </c>
      <c r="D7" s="860">
        <f>INDEX(Emission.Raw!$B$6:$H$21,MATCH(Vehicle.Em!$B$6,Emission.Raw!$A$6:$A$21,0),MATCH(Vehicle.Em!D6,Emission.Raw!$B$5:$H$5,0))</f>
        <v>2.7441106188925861</v>
      </c>
      <c r="E7" s="860">
        <f>INDEX(Emission.Raw!$B$6:$H$21,MATCH(Vehicle.Em!$B$6,Emission.Raw!$A$6:$A$21,0),MATCH(Vehicle.Em!E6,Emission.Raw!$B$5:$H$5,0))</f>
        <v>0.30169887779209087</v>
      </c>
      <c r="F7" s="860">
        <f>INDEX(Emission.Raw!$B$6:$H$21,MATCH(Vehicle.Em!$B$6,Emission.Raw!$A$6:$A$21,0),MATCH(Vehicle.Em!F6,Emission.Raw!$B$5:$H$5,0))</f>
        <v>6.3024336550370113E-3</v>
      </c>
      <c r="G7" s="860">
        <f>INDEX(Emission.Raw!$B$6:$H$21,MATCH(Vehicle.Em!$B$6,Emission.Raw!$A$6:$A$21,0),MATCH(Vehicle.Em!G6,Emission.Raw!$B$5:$H$5,0))</f>
        <v>5.5752543330527234E-3</v>
      </c>
      <c r="H7" s="860">
        <f>INDEX(Emission.Raw!$B$6:$H$21,MATCH(Vehicle.Em!$B$6,Emission.Raw!$A$6:$A$21,0),MATCH(Vehicle.Em!H6,Emission.Raw!$B$5:$H$5,0))</f>
        <v>7.4618574581108961E-3</v>
      </c>
      <c r="I7" s="861">
        <f>INDEX(Emission.Raw!$B$6:$H$21,MATCH(Vehicle.Em!$B$6,Emission.Raw!$A$6:$A$21,0),MATCH(Vehicle.Em!I6,Emission.Raw!$B$5:$H$5,0))</f>
        <v>6.3700638427690082E-2</v>
      </c>
      <c r="K7" s="851">
        <v>2016</v>
      </c>
      <c r="L7" s="852">
        <f>INDEX(Emission.Raw!$L$6:$R$21,MATCH(Vehicle.Em!$K$6,Emission.Raw!$K$6:$K$21,0),MATCH(Vehicle.Em!L6,Emission.Raw!$L$5:$R$5,0))</f>
        <v>1721.8497161865209</v>
      </c>
      <c r="M7" s="860">
        <f>INDEX(Emission.Raw!$L$6:$R$21,MATCH(Vehicle.Em!$K$6,Emission.Raw!$K$6:$K$21,0),MATCH(Vehicle.Em!M6,Emission.Raw!$L$5:$R$5,0))</f>
        <v>1.9868171259004115</v>
      </c>
      <c r="N7" s="860">
        <f>INDEX(Emission.Raw!$L$6:$R$21,MATCH(Vehicle.Em!$K$6,Emission.Raw!$K$6:$K$21,0),MATCH(Vehicle.Em!N6,Emission.Raw!$L$5:$R$5,0))</f>
        <v>6.165884880396332</v>
      </c>
      <c r="O7" s="860">
        <f>INDEX(Emission.Raw!$L$6:$R$21,MATCH(Vehicle.Em!$K$6,Emission.Raw!$K$6:$K$21,0),MATCH(Vehicle.Em!O6,Emission.Raw!$L$5:$R$5,0))</f>
        <v>0.37433411728125032</v>
      </c>
      <c r="P7" s="860">
        <f>INDEX(Emission.Raw!$L$6:$R$21,MATCH(Vehicle.Em!$K$6,Emission.Raw!$K$6:$K$21,0),MATCH(Vehicle.Em!P6,Emission.Raw!$L$5:$R$5,0))</f>
        <v>0.34438616887200596</v>
      </c>
      <c r="Q7" s="860">
        <f>INDEX(Emission.Raw!$L$6:$R$21,MATCH(Vehicle.Em!$K$6,Emission.Raw!$K$6:$K$21,0),MATCH(Vehicle.Em!Q6,Emission.Raw!$L$5:$R$5,0))</f>
        <v>1.4706687477882893E-2</v>
      </c>
      <c r="R7" s="861">
        <f>INDEX(Emission.Raw!$L$6:$R$21,MATCH(Vehicle.Em!$K$6,Emission.Raw!$K$6:$K$21,0),MATCH(Vehicle.Em!R6,Emission.Raw!$L$5:$R$5,0))</f>
        <v>0.49267456655798003</v>
      </c>
    </row>
    <row r="8" spans="1:18" x14ac:dyDescent="0.25">
      <c r="B8" s="853">
        <f>B7+1</f>
        <v>2017</v>
      </c>
      <c r="C8" s="854">
        <f>C7+(C$16-C$7)/COUNT($B$7:$B$16)</f>
        <v>364.9987453460688</v>
      </c>
      <c r="D8" s="868">
        <f t="shared" ref="D8:I15" si="0">D7+(D$16-D$7)/COUNT($B$7:$B$16)</f>
        <v>2.6175572146708821</v>
      </c>
      <c r="E8" s="868">
        <f t="shared" si="0"/>
        <v>0.27587232626284164</v>
      </c>
      <c r="F8" s="868">
        <f t="shared" si="0"/>
        <v>5.9826956818369494E-3</v>
      </c>
      <c r="G8" s="868">
        <f t="shared" si="0"/>
        <v>5.2924081441460625E-3</v>
      </c>
      <c r="H8" s="868">
        <f t="shared" si="0"/>
        <v>6.9033603402203856E-3</v>
      </c>
      <c r="I8" s="869">
        <f t="shared" si="0"/>
        <v>5.8253347237905422E-2</v>
      </c>
      <c r="K8" s="853">
        <f>K7+1</f>
        <v>2017</v>
      </c>
      <c r="L8" s="854">
        <f>L7+(L$16-L$7)/COUNT($K$7:$K$16)</f>
        <v>1711.9715274810765</v>
      </c>
      <c r="M8" s="868">
        <f t="shared" ref="M8:R15" si="1">M7+(M$16-M$7)/COUNT($K$7:$K$16)</f>
        <v>1.8592946746612105</v>
      </c>
      <c r="N8" s="868">
        <f t="shared" si="1"/>
        <v>5.7663417981192628</v>
      </c>
      <c r="O8" s="868">
        <f t="shared" si="1"/>
        <v>0.34631564175942881</v>
      </c>
      <c r="P8" s="868">
        <f t="shared" si="1"/>
        <v>0.31860926388035271</v>
      </c>
      <c r="Q8" s="868">
        <f t="shared" si="1"/>
        <v>1.4596030741813537E-2</v>
      </c>
      <c r="R8" s="869">
        <f t="shared" si="1"/>
        <v>0.45735790956678085</v>
      </c>
    </row>
    <row r="9" spans="1:18" x14ac:dyDescent="0.25">
      <c r="B9" s="853">
        <f t="shared" ref="B9:B44" si="2">B8+1</f>
        <v>2018</v>
      </c>
      <c r="C9" s="854">
        <f t="shared" ref="C9:C15" si="3">C8+(C$16-C$7)/COUNT($B$7:$B$16)</f>
        <v>355.75299530029241</v>
      </c>
      <c r="D9" s="870">
        <f t="shared" si="0"/>
        <v>2.4910038104491781</v>
      </c>
      <c r="E9" s="870">
        <f t="shared" si="0"/>
        <v>0.25004577473359241</v>
      </c>
      <c r="F9" s="870">
        <f t="shared" si="0"/>
        <v>5.6629577086368876E-3</v>
      </c>
      <c r="G9" s="870">
        <f t="shared" si="0"/>
        <v>5.0095619552394015E-3</v>
      </c>
      <c r="H9" s="870">
        <f t="shared" si="0"/>
        <v>6.3448632223298751E-3</v>
      </c>
      <c r="I9" s="871">
        <f t="shared" si="0"/>
        <v>5.2806056048120761E-2</v>
      </c>
      <c r="K9" s="853">
        <f t="shared" ref="K9:K44" si="4">K8+1</f>
        <v>2018</v>
      </c>
      <c r="L9" s="854">
        <f t="shared" ref="L9:L15" si="5">L8+(L$16-L$7)/COUNT($K$7:$K$16)</f>
        <v>1702.0933387756318</v>
      </c>
      <c r="M9" s="870">
        <f t="shared" si="1"/>
        <v>1.7317722234220094</v>
      </c>
      <c r="N9" s="870">
        <f t="shared" si="1"/>
        <v>5.3667987158421937</v>
      </c>
      <c r="O9" s="870">
        <f t="shared" si="1"/>
        <v>0.31829716623760729</v>
      </c>
      <c r="P9" s="870">
        <f t="shared" si="1"/>
        <v>0.29283235888869941</v>
      </c>
      <c r="Q9" s="870">
        <f t="shared" si="1"/>
        <v>1.4485374005744182E-2</v>
      </c>
      <c r="R9" s="871">
        <f t="shared" si="1"/>
        <v>0.42204125257558167</v>
      </c>
    </row>
    <row r="10" spans="1:18" x14ac:dyDescent="0.25">
      <c r="B10" s="853">
        <f t="shared" si="2"/>
        <v>2019</v>
      </c>
      <c r="C10" s="854">
        <f t="shared" si="3"/>
        <v>346.50724525451602</v>
      </c>
      <c r="D10" s="870">
        <f t="shared" si="0"/>
        <v>2.364450406227474</v>
      </c>
      <c r="E10" s="870">
        <f t="shared" si="0"/>
        <v>0.22421922320434318</v>
      </c>
      <c r="F10" s="870">
        <f t="shared" si="0"/>
        <v>5.3432197354368258E-3</v>
      </c>
      <c r="G10" s="870">
        <f t="shared" si="0"/>
        <v>4.7267157663327406E-3</v>
      </c>
      <c r="H10" s="870">
        <f t="shared" si="0"/>
        <v>5.7863661044393645E-3</v>
      </c>
      <c r="I10" s="871">
        <f t="shared" si="0"/>
        <v>4.7358764858336101E-2</v>
      </c>
      <c r="K10" s="853">
        <f t="shared" si="4"/>
        <v>2019</v>
      </c>
      <c r="L10" s="854">
        <f t="shared" si="5"/>
        <v>1692.2151500701871</v>
      </c>
      <c r="M10" s="870">
        <f t="shared" si="1"/>
        <v>1.6042497721828084</v>
      </c>
      <c r="N10" s="870">
        <f t="shared" si="1"/>
        <v>4.9672556335651246</v>
      </c>
      <c r="O10" s="870">
        <f t="shared" si="1"/>
        <v>0.29027869071578577</v>
      </c>
      <c r="P10" s="870">
        <f t="shared" si="1"/>
        <v>0.2670554538970461</v>
      </c>
      <c r="Q10" s="870">
        <f t="shared" si="1"/>
        <v>1.4374717269674826E-2</v>
      </c>
      <c r="R10" s="871">
        <f t="shared" si="1"/>
        <v>0.38672459558438249</v>
      </c>
    </row>
    <row r="11" spans="1:18" x14ac:dyDescent="0.25">
      <c r="B11" s="853">
        <f t="shared" si="2"/>
        <v>2020</v>
      </c>
      <c r="C11" s="854">
        <f t="shared" si="3"/>
        <v>337.26149520873963</v>
      </c>
      <c r="D11" s="870">
        <f t="shared" si="0"/>
        <v>2.23789700200577</v>
      </c>
      <c r="E11" s="870">
        <f t="shared" si="0"/>
        <v>0.19839267167509395</v>
      </c>
      <c r="F11" s="870">
        <f t="shared" si="0"/>
        <v>5.0234817622367639E-3</v>
      </c>
      <c r="G11" s="870">
        <f t="shared" si="0"/>
        <v>4.4438695774260796E-3</v>
      </c>
      <c r="H11" s="870">
        <f t="shared" si="0"/>
        <v>5.227868986548854E-3</v>
      </c>
      <c r="I11" s="871">
        <f t="shared" si="0"/>
        <v>4.1911473668551441E-2</v>
      </c>
      <c r="K11" s="853">
        <f t="shared" si="4"/>
        <v>2020</v>
      </c>
      <c r="L11" s="854">
        <f t="shared" si="5"/>
        <v>1682.3369613647424</v>
      </c>
      <c r="M11" s="870">
        <f t="shared" si="1"/>
        <v>1.4767273209436074</v>
      </c>
      <c r="N11" s="870">
        <f t="shared" si="1"/>
        <v>4.5677125512880554</v>
      </c>
      <c r="O11" s="870">
        <f t="shared" si="1"/>
        <v>0.26226021519396425</v>
      </c>
      <c r="P11" s="870">
        <f t="shared" si="1"/>
        <v>0.24127854890539283</v>
      </c>
      <c r="Q11" s="870">
        <f t="shared" si="1"/>
        <v>1.4264060533605471E-2</v>
      </c>
      <c r="R11" s="871">
        <f t="shared" si="1"/>
        <v>0.35140793859318331</v>
      </c>
    </row>
    <row r="12" spans="1:18" x14ac:dyDescent="0.25">
      <c r="B12" s="853">
        <f t="shared" si="2"/>
        <v>2021</v>
      </c>
      <c r="C12" s="854">
        <f t="shared" si="3"/>
        <v>328.01574516296324</v>
      </c>
      <c r="D12" s="870">
        <f t="shared" si="0"/>
        <v>2.111343597784066</v>
      </c>
      <c r="E12" s="870">
        <f t="shared" si="0"/>
        <v>0.17256612014584471</v>
      </c>
      <c r="F12" s="870">
        <f t="shared" si="0"/>
        <v>4.7037437890367021E-3</v>
      </c>
      <c r="G12" s="870">
        <f t="shared" si="0"/>
        <v>4.1610233885194187E-3</v>
      </c>
      <c r="H12" s="870">
        <f t="shared" si="0"/>
        <v>4.6693718686583435E-3</v>
      </c>
      <c r="I12" s="871">
        <f t="shared" si="0"/>
        <v>3.6464182478766781E-2</v>
      </c>
      <c r="K12" s="853">
        <f t="shared" si="4"/>
        <v>2021</v>
      </c>
      <c r="L12" s="854">
        <f t="shared" si="5"/>
        <v>1672.4587726592977</v>
      </c>
      <c r="M12" s="870">
        <f t="shared" si="1"/>
        <v>1.3492048697044063</v>
      </c>
      <c r="N12" s="870">
        <f t="shared" si="1"/>
        <v>4.1681694690109863</v>
      </c>
      <c r="O12" s="870">
        <f t="shared" si="1"/>
        <v>0.23424173967214273</v>
      </c>
      <c r="P12" s="870">
        <f t="shared" si="1"/>
        <v>0.21550164391373955</v>
      </c>
      <c r="Q12" s="870">
        <f t="shared" si="1"/>
        <v>1.4153403797536115E-2</v>
      </c>
      <c r="R12" s="871">
        <f t="shared" si="1"/>
        <v>0.31609128160198413</v>
      </c>
    </row>
    <row r="13" spans="1:18" x14ac:dyDescent="0.25">
      <c r="B13" s="853">
        <f t="shared" si="2"/>
        <v>2022</v>
      </c>
      <c r="C13" s="854">
        <f t="shared" si="3"/>
        <v>318.76999511718685</v>
      </c>
      <c r="D13" s="870">
        <f t="shared" si="0"/>
        <v>1.984790193562362</v>
      </c>
      <c r="E13" s="870">
        <f t="shared" si="0"/>
        <v>0.14673956861659548</v>
      </c>
      <c r="F13" s="870">
        <f t="shared" si="0"/>
        <v>4.3840058158366403E-3</v>
      </c>
      <c r="G13" s="870">
        <f t="shared" si="0"/>
        <v>3.8781771996127582E-3</v>
      </c>
      <c r="H13" s="870">
        <f t="shared" si="0"/>
        <v>4.1108747507678329E-3</v>
      </c>
      <c r="I13" s="871">
        <f t="shared" si="0"/>
        <v>3.1016891288982121E-2</v>
      </c>
      <c r="K13" s="853">
        <f t="shared" si="4"/>
        <v>2022</v>
      </c>
      <c r="L13" s="854">
        <f t="shared" si="5"/>
        <v>1662.580583953853</v>
      </c>
      <c r="M13" s="870">
        <f t="shared" si="1"/>
        <v>1.2216824184652053</v>
      </c>
      <c r="N13" s="870">
        <f t="shared" si="1"/>
        <v>3.7686263867339176</v>
      </c>
      <c r="O13" s="870">
        <f t="shared" si="1"/>
        <v>0.20622326415032122</v>
      </c>
      <c r="P13" s="870">
        <f t="shared" si="1"/>
        <v>0.18972473892208627</v>
      </c>
      <c r="Q13" s="870">
        <f t="shared" si="1"/>
        <v>1.404274706146676E-2</v>
      </c>
      <c r="R13" s="871">
        <f t="shared" si="1"/>
        <v>0.28077462461078495</v>
      </c>
    </row>
    <row r="14" spans="1:18" x14ac:dyDescent="0.25">
      <c r="B14" s="853">
        <f t="shared" si="2"/>
        <v>2023</v>
      </c>
      <c r="C14" s="854">
        <f t="shared" si="3"/>
        <v>309.52424507141046</v>
      </c>
      <c r="D14" s="870">
        <f t="shared" si="0"/>
        <v>1.8582367893406579</v>
      </c>
      <c r="E14" s="870">
        <f t="shared" si="0"/>
        <v>0.12091301708734625</v>
      </c>
      <c r="F14" s="870">
        <f t="shared" si="0"/>
        <v>4.0642678426365784E-3</v>
      </c>
      <c r="G14" s="870">
        <f t="shared" si="0"/>
        <v>3.5953310107060977E-3</v>
      </c>
      <c r="H14" s="870">
        <f t="shared" si="0"/>
        <v>3.5523776328773224E-3</v>
      </c>
      <c r="I14" s="871">
        <f t="shared" si="0"/>
        <v>2.5569600099197461E-2</v>
      </c>
      <c r="K14" s="853">
        <f t="shared" si="4"/>
        <v>2023</v>
      </c>
      <c r="L14" s="854">
        <f t="shared" si="5"/>
        <v>1652.7023952484083</v>
      </c>
      <c r="M14" s="870">
        <f t="shared" si="1"/>
        <v>1.0941599672260043</v>
      </c>
      <c r="N14" s="870">
        <f t="shared" si="1"/>
        <v>3.3690833044568489</v>
      </c>
      <c r="O14" s="870">
        <f t="shared" si="1"/>
        <v>0.1782047886284997</v>
      </c>
      <c r="P14" s="870">
        <f t="shared" si="1"/>
        <v>0.163947833930433</v>
      </c>
      <c r="Q14" s="870">
        <f t="shared" si="1"/>
        <v>1.3932090325397405E-2</v>
      </c>
      <c r="R14" s="871">
        <f t="shared" si="1"/>
        <v>0.24545796761958577</v>
      </c>
    </row>
    <row r="15" spans="1:18" x14ac:dyDescent="0.25">
      <c r="B15" s="853">
        <f t="shared" si="2"/>
        <v>2024</v>
      </c>
      <c r="C15" s="854">
        <f t="shared" si="3"/>
        <v>300.27849502563407</v>
      </c>
      <c r="D15" s="872">
        <f t="shared" si="0"/>
        <v>1.7316833851189539</v>
      </c>
      <c r="E15" s="872">
        <f t="shared" si="0"/>
        <v>9.5086465558097022E-2</v>
      </c>
      <c r="F15" s="872">
        <f t="shared" si="0"/>
        <v>3.7445298694365162E-3</v>
      </c>
      <c r="G15" s="872">
        <f t="shared" si="0"/>
        <v>3.3124848217994372E-3</v>
      </c>
      <c r="H15" s="872">
        <f t="shared" si="0"/>
        <v>2.9938805149868119E-3</v>
      </c>
      <c r="I15" s="873">
        <f t="shared" si="0"/>
        <v>2.01223089094128E-2</v>
      </c>
      <c r="K15" s="853">
        <f t="shared" si="4"/>
        <v>2024</v>
      </c>
      <c r="L15" s="854">
        <f t="shared" si="5"/>
        <v>1642.8242065429636</v>
      </c>
      <c r="M15" s="872">
        <f t="shared" si="1"/>
        <v>0.96663751598680325</v>
      </c>
      <c r="N15" s="872">
        <f t="shared" si="1"/>
        <v>2.9695402221797802</v>
      </c>
      <c r="O15" s="872">
        <f t="shared" si="1"/>
        <v>0.15018631310667818</v>
      </c>
      <c r="P15" s="872">
        <f t="shared" si="1"/>
        <v>0.13817092893877972</v>
      </c>
      <c r="Q15" s="872">
        <f t="shared" si="1"/>
        <v>1.3821433589328049E-2</v>
      </c>
      <c r="R15" s="873">
        <f t="shared" si="1"/>
        <v>0.21014131062838659</v>
      </c>
    </row>
    <row r="16" spans="1:18" x14ac:dyDescent="0.25">
      <c r="B16" s="851">
        <f t="shared" si="2"/>
        <v>2025</v>
      </c>
      <c r="C16" s="852">
        <f>INDEX(Emission.Raw!$B$28:$H$43,MATCH(Vehicle.Em!$B$6,Emission.Raw!$A$28:$A$43,0),MATCH(Vehicle.Em!C6,Emission.Raw!$B$27:$H$27,0))</f>
        <v>281.78699493408141</v>
      </c>
      <c r="D16" s="860">
        <f>INDEX(Emission.Raw!$B$28:$H$43,MATCH(Vehicle.Em!$B$6,Emission.Raw!$A$28:$A$43,0),MATCH(Vehicle.Em!D6,Emission.Raw!$B$27:$H$27,0))</f>
        <v>1.4785765766755468</v>
      </c>
      <c r="E16" s="860">
        <f>INDEX(Emission.Raw!$B$28:$H$43,MATCH(Vehicle.Em!$B$6,Emission.Raw!$A$28:$A$43,0),MATCH(Vehicle.Em!E6,Emission.Raw!$B$27:$H$27,0))</f>
        <v>4.343336249959856E-2</v>
      </c>
      <c r="F16" s="860">
        <f>INDEX(Emission.Raw!$B$28:$H$43,MATCH(Vehicle.Em!$B$6,Emission.Raw!$A$28:$A$43,0),MATCH(Vehicle.Em!F6,Emission.Raw!$B$27:$H$27,0))</f>
        <v>3.1050539230363891E-3</v>
      </c>
      <c r="G16" s="860">
        <f>INDEX(Emission.Raw!$B$28:$H$43,MATCH(Vehicle.Em!$B$6,Emission.Raw!$A$28:$A$43,0),MATCH(Vehicle.Em!G6,Emission.Raw!$B$27:$H$27,0))</f>
        <v>2.7467924439861166E-3</v>
      </c>
      <c r="H16" s="860">
        <f>INDEX(Emission.Raw!$B$28:$H$43,MATCH(Vehicle.Em!$B$6,Emission.Raw!$A$28:$A$43,0),MATCH(Vehicle.Em!H6,Emission.Raw!$B$27:$H$27,0))</f>
        <v>1.8768862792057886E-3</v>
      </c>
      <c r="I16" s="861">
        <f>INDEX(Emission.Raw!$B$28:$H$43,MATCH(Vehicle.Em!$B$6,Emission.Raw!$A$28:$A$43,0),MATCH(Vehicle.Em!I6,Emission.Raw!$B$27:$H$27,0))</f>
        <v>9.2277265298434767E-3</v>
      </c>
      <c r="K16" s="851">
        <f t="shared" si="4"/>
        <v>2025</v>
      </c>
      <c r="L16" s="859">
        <f>INDEX(Emission.Raw!$L$28:$R$43,MATCH(Vehicle.Em!$K$6,Emission.Raw!$K$28:$K$43,0),MATCH(Vehicle.Em!L6,Emission.Raw!$L$27:$R$27,0))</f>
        <v>1623.0678291320751</v>
      </c>
      <c r="M16" s="860">
        <f>INDEX(Emission.Raw!$L$28:$R$43,MATCH(Vehicle.Em!$K$6,Emission.Raw!$K$28:$K$43,0),MATCH(Vehicle.Em!M6,Emission.Raw!$L$27:$R$27,0))</f>
        <v>0.71159261350840086</v>
      </c>
      <c r="N16" s="860">
        <f>INDEX(Emission.Raw!$L$28:$R$43,MATCH(Vehicle.Em!$K$6,Emission.Raw!$K$28:$K$43,0),MATCH(Vehicle.Em!N6,Emission.Raw!$L$27:$R$27,0))</f>
        <v>2.1704540576256446</v>
      </c>
      <c r="O16" s="860">
        <f>INDEX(Emission.Raw!$L$28:$R$43,MATCH(Vehicle.Em!$K$6,Emission.Raw!$K$28:$K$43,0),MATCH(Vehicle.Em!O6,Emission.Raw!$L$27:$R$27,0))</f>
        <v>9.4149362063035258E-2</v>
      </c>
      <c r="P16" s="860">
        <f>INDEX(Emission.Raw!$L$28:$R$43,MATCH(Vehicle.Em!$K$6,Emission.Raw!$K$28:$K$43,0),MATCH(Vehicle.Em!P6,Emission.Raw!$L$27:$R$27,0))</f>
        <v>8.6617118955473207E-2</v>
      </c>
      <c r="Q16" s="860">
        <f>INDEX(Emission.Raw!$L$28:$R$43,MATCH(Vehicle.Em!$K$6,Emission.Raw!$K$28:$K$43,0),MATCH(Vehicle.Em!Q6,Emission.Raw!$L$27:$R$27,0))</f>
        <v>1.360012011718933E-2</v>
      </c>
      <c r="R16" s="861">
        <f>INDEX(Emission.Raw!$L$28:$R$43,MATCH(Vehicle.Em!$K$6,Emission.Raw!$K$28:$K$43,0),MATCH(Vehicle.Em!R6,Emission.Raw!$L$27:$R$27,0))</f>
        <v>0.1395079966459882</v>
      </c>
    </row>
    <row r="17" spans="2:18" x14ac:dyDescent="0.25">
      <c r="B17" s="853">
        <f t="shared" si="2"/>
        <v>2026</v>
      </c>
      <c r="C17" s="877">
        <f>C16+(C$26-C$16)/COUNT($B$16:$B$26)</f>
        <v>275.89749509637943</v>
      </c>
      <c r="D17" s="868">
        <f>D16+(D$26-D$16)/COUNT($B$16:$B$26)</f>
        <v>1.4069479191765044</v>
      </c>
      <c r="E17" s="868">
        <f t="shared" ref="D17:I25" si="6">E16+(E$26-E$16)/COUNT($B$16:$B$26)</f>
        <v>4.0669124643229866E-2</v>
      </c>
      <c r="F17" s="868">
        <f t="shared" si="6"/>
        <v>3.0053541886652258E-3</v>
      </c>
      <c r="G17" s="868">
        <f>G16+(G$26-G$16)/COUNT($B$16:$B$26)</f>
        <v>2.6585959942415369E-3</v>
      </c>
      <c r="H17" s="868">
        <f t="shared" si="6"/>
        <v>1.8382103682432125E-3</v>
      </c>
      <c r="I17" s="869">
        <f>I16+(I$26-I$16)/COUNT($B$16:$B$26)</f>
        <v>8.7396947470882395E-3</v>
      </c>
      <c r="K17" s="853">
        <f t="shared" si="4"/>
        <v>2026</v>
      </c>
      <c r="L17" s="854">
        <f>L16+(L$26-L$16)/COUNT($K$16:$K$26)</f>
        <v>1620.1800159107506</v>
      </c>
      <c r="M17" s="862">
        <f t="shared" ref="M17:R25" si="7">M16+(M$26-M$16)/COUNT($K$16:$K$26)</f>
        <v>0.68667783125996795</v>
      </c>
      <c r="N17" s="862">
        <f t="shared" si="7"/>
        <v>2.0906059608620566</v>
      </c>
      <c r="O17" s="862">
        <f t="shared" si="7"/>
        <v>8.8690880982374501E-2</v>
      </c>
      <c r="P17" s="862">
        <f t="shared" si="7"/>
        <v>8.1595335956080622E-2</v>
      </c>
      <c r="Q17" s="862">
        <f t="shared" si="7"/>
        <v>1.357006216262972E-2</v>
      </c>
      <c r="R17" s="863">
        <f t="shared" si="7"/>
        <v>0.13290501357839771</v>
      </c>
    </row>
    <row r="18" spans="2:18" x14ac:dyDescent="0.25">
      <c r="B18" s="853">
        <f t="shared" si="2"/>
        <v>2027</v>
      </c>
      <c r="C18" s="878">
        <f t="shared" ref="C18:C25" si="8">C17+(C$26-C$16)/COUNT($B$16:$B$26)</f>
        <v>270.00799525867745</v>
      </c>
      <c r="D18" s="870">
        <f t="shared" si="6"/>
        <v>1.3353192616774621</v>
      </c>
      <c r="E18" s="870">
        <f t="shared" si="6"/>
        <v>3.7904886786861172E-2</v>
      </c>
      <c r="F18" s="870">
        <f t="shared" si="6"/>
        <v>2.9056544542940626E-3</v>
      </c>
      <c r="G18" s="870">
        <f t="shared" si="6"/>
        <v>2.5703995444969572E-3</v>
      </c>
      <c r="H18" s="870">
        <f t="shared" si="6"/>
        <v>1.7995344572806363E-3</v>
      </c>
      <c r="I18" s="871">
        <f t="shared" si="6"/>
        <v>8.2516629643330022E-3</v>
      </c>
      <c r="K18" s="853">
        <f t="shared" si="4"/>
        <v>2027</v>
      </c>
      <c r="L18" s="854">
        <f t="shared" ref="L18:L25" si="9">L17+(L$26-L$16)/COUNT($K$16:$K$26)</f>
        <v>1617.2922026894262</v>
      </c>
      <c r="M18" s="864">
        <f t="shared" si="7"/>
        <v>0.66176304901153504</v>
      </c>
      <c r="N18" s="864">
        <f t="shared" si="7"/>
        <v>2.0107578640984691</v>
      </c>
      <c r="O18" s="864">
        <f t="shared" si="7"/>
        <v>8.3232399901713744E-2</v>
      </c>
      <c r="P18" s="864">
        <f t="shared" si="7"/>
        <v>7.6573552956688037E-2</v>
      </c>
      <c r="Q18" s="864">
        <f t="shared" si="7"/>
        <v>1.3540004208070109E-2</v>
      </c>
      <c r="R18" s="865">
        <f t="shared" si="7"/>
        <v>0.12630203051080721</v>
      </c>
    </row>
    <row r="19" spans="2:18" x14ac:dyDescent="0.25">
      <c r="B19" s="853">
        <f t="shared" si="2"/>
        <v>2028</v>
      </c>
      <c r="C19" s="878">
        <f t="shared" si="8"/>
        <v>264.11849542097548</v>
      </c>
      <c r="D19" s="870">
        <f t="shared" si="6"/>
        <v>1.2636906041784197</v>
      </c>
      <c r="E19" s="870">
        <f t="shared" si="6"/>
        <v>3.5140648930492478E-2</v>
      </c>
      <c r="F19" s="870">
        <f t="shared" si="6"/>
        <v>2.8059547199228993E-3</v>
      </c>
      <c r="G19" s="870">
        <f t="shared" si="6"/>
        <v>2.4822030947523775E-3</v>
      </c>
      <c r="H19" s="870">
        <f t="shared" si="6"/>
        <v>1.7608585463180601E-3</v>
      </c>
      <c r="I19" s="871">
        <f t="shared" si="6"/>
        <v>7.7636311815777641E-3</v>
      </c>
      <c r="K19" s="853">
        <f t="shared" si="4"/>
        <v>2028</v>
      </c>
      <c r="L19" s="854">
        <f t="shared" si="9"/>
        <v>1614.4043894681017</v>
      </c>
      <c r="M19" s="864">
        <f t="shared" si="7"/>
        <v>0.63684826676310213</v>
      </c>
      <c r="N19" s="864">
        <f t="shared" si="7"/>
        <v>1.9309097673348814</v>
      </c>
      <c r="O19" s="864">
        <f t="shared" si="7"/>
        <v>7.7773918821052987E-2</v>
      </c>
      <c r="P19" s="864">
        <f t="shared" si="7"/>
        <v>7.1551769957295452E-2</v>
      </c>
      <c r="Q19" s="864">
        <f t="shared" si="7"/>
        <v>1.3509946253510499E-2</v>
      </c>
      <c r="R19" s="865">
        <f t="shared" si="7"/>
        <v>0.11969904744321672</v>
      </c>
    </row>
    <row r="20" spans="2:18" x14ac:dyDescent="0.25">
      <c r="B20" s="853">
        <f t="shared" si="2"/>
        <v>2029</v>
      </c>
      <c r="C20" s="878">
        <f t="shared" si="8"/>
        <v>258.2289955832735</v>
      </c>
      <c r="D20" s="870">
        <f t="shared" si="6"/>
        <v>1.1920619466793774</v>
      </c>
      <c r="E20" s="870">
        <f t="shared" si="6"/>
        <v>3.2376411074123784E-2</v>
      </c>
      <c r="F20" s="870">
        <f t="shared" si="6"/>
        <v>2.7062549855517361E-3</v>
      </c>
      <c r="G20" s="870">
        <f t="shared" si="6"/>
        <v>2.3940066450077978E-3</v>
      </c>
      <c r="H20" s="870">
        <f t="shared" si="6"/>
        <v>1.722182635355484E-3</v>
      </c>
      <c r="I20" s="871">
        <f t="shared" si="6"/>
        <v>7.275599398822526E-3</v>
      </c>
      <c r="K20" s="853">
        <f t="shared" si="4"/>
        <v>2029</v>
      </c>
      <c r="L20" s="854">
        <f t="shared" si="9"/>
        <v>1611.5165762467773</v>
      </c>
      <c r="M20" s="864">
        <f t="shared" si="7"/>
        <v>0.61193348451466922</v>
      </c>
      <c r="N20" s="864">
        <f t="shared" si="7"/>
        <v>1.8510616705712937</v>
      </c>
      <c r="O20" s="864">
        <f t="shared" si="7"/>
        <v>7.231543774039223E-2</v>
      </c>
      <c r="P20" s="864">
        <f t="shared" si="7"/>
        <v>6.6529986957902867E-2</v>
      </c>
      <c r="Q20" s="864">
        <f t="shared" si="7"/>
        <v>1.3479888298950889E-2</v>
      </c>
      <c r="R20" s="865">
        <f t="shared" si="7"/>
        <v>0.11309606437562622</v>
      </c>
    </row>
    <row r="21" spans="2:18" x14ac:dyDescent="0.25">
      <c r="B21" s="853">
        <f t="shared" si="2"/>
        <v>2030</v>
      </c>
      <c r="C21" s="878">
        <f t="shared" si="8"/>
        <v>252.33949574557153</v>
      </c>
      <c r="D21" s="870">
        <f t="shared" si="6"/>
        <v>1.120433289180335</v>
      </c>
      <c r="E21" s="870">
        <f t="shared" si="6"/>
        <v>2.961217321775509E-2</v>
      </c>
      <c r="F21" s="870">
        <f t="shared" si="6"/>
        <v>2.6065552511805729E-3</v>
      </c>
      <c r="G21" s="870">
        <f t="shared" si="6"/>
        <v>2.3058101952632181E-3</v>
      </c>
      <c r="H21" s="870">
        <f t="shared" si="6"/>
        <v>1.6835067243929078E-3</v>
      </c>
      <c r="I21" s="871">
        <f t="shared" si="6"/>
        <v>6.7875676160672879E-3</v>
      </c>
      <c r="K21" s="853">
        <f t="shared" si="4"/>
        <v>2030</v>
      </c>
      <c r="L21" s="854">
        <f t="shared" si="9"/>
        <v>1608.6287630254528</v>
      </c>
      <c r="M21" s="864">
        <f t="shared" si="7"/>
        <v>0.58701870226623631</v>
      </c>
      <c r="N21" s="864">
        <f t="shared" si="7"/>
        <v>1.7712135738077059</v>
      </c>
      <c r="O21" s="864">
        <f t="shared" si="7"/>
        <v>6.6856956659731473E-2</v>
      </c>
      <c r="P21" s="864">
        <f t="shared" si="7"/>
        <v>6.1508203958510282E-2</v>
      </c>
      <c r="Q21" s="864">
        <f t="shared" si="7"/>
        <v>1.3449830344391279E-2</v>
      </c>
      <c r="R21" s="865">
        <f t="shared" si="7"/>
        <v>0.10649308130803573</v>
      </c>
    </row>
    <row r="22" spans="2:18" x14ac:dyDescent="0.25">
      <c r="B22" s="853">
        <f t="shared" si="2"/>
        <v>2031</v>
      </c>
      <c r="C22" s="878">
        <f t="shared" si="8"/>
        <v>246.44999590786955</v>
      </c>
      <c r="D22" s="870">
        <f t="shared" si="6"/>
        <v>1.0488046316812927</v>
      </c>
      <c r="E22" s="870">
        <f t="shared" si="6"/>
        <v>2.6847935361386396E-2</v>
      </c>
      <c r="F22" s="870">
        <f t="shared" si="6"/>
        <v>2.5068555168094096E-3</v>
      </c>
      <c r="G22" s="870">
        <f t="shared" si="6"/>
        <v>2.2176137455186384E-3</v>
      </c>
      <c r="H22" s="870">
        <f t="shared" si="6"/>
        <v>1.6448308134303317E-3</v>
      </c>
      <c r="I22" s="871">
        <f t="shared" si="6"/>
        <v>6.2995358333120498E-3</v>
      </c>
      <c r="K22" s="853">
        <f t="shared" si="4"/>
        <v>2031</v>
      </c>
      <c r="L22" s="854">
        <f t="shared" si="9"/>
        <v>1605.7409498041284</v>
      </c>
      <c r="M22" s="864">
        <f t="shared" si="7"/>
        <v>0.5621039200178034</v>
      </c>
      <c r="N22" s="864">
        <f t="shared" si="7"/>
        <v>1.6913654770441182</v>
      </c>
      <c r="O22" s="864">
        <f t="shared" si="7"/>
        <v>6.1398475579070716E-2</v>
      </c>
      <c r="P22" s="864">
        <f t="shared" si="7"/>
        <v>5.6486420959117697E-2</v>
      </c>
      <c r="Q22" s="864">
        <f t="shared" si="7"/>
        <v>1.3419772389831669E-2</v>
      </c>
      <c r="R22" s="865">
        <f t="shared" si="7"/>
        <v>9.989009824044523E-2</v>
      </c>
    </row>
    <row r="23" spans="2:18" x14ac:dyDescent="0.25">
      <c r="B23" s="853">
        <f t="shared" si="2"/>
        <v>2032</v>
      </c>
      <c r="C23" s="878">
        <f t="shared" si="8"/>
        <v>240.56049607016757</v>
      </c>
      <c r="D23" s="870">
        <f t="shared" si="6"/>
        <v>0.97717597418225044</v>
      </c>
      <c r="E23" s="870">
        <f t="shared" si="6"/>
        <v>2.4083697505017702E-2</v>
      </c>
      <c r="F23" s="870">
        <f t="shared" si="6"/>
        <v>2.4071557824382464E-3</v>
      </c>
      <c r="G23" s="870">
        <f t="shared" si="6"/>
        <v>2.1294172957740587E-3</v>
      </c>
      <c r="H23" s="870">
        <f t="shared" si="6"/>
        <v>1.6061549024677555E-3</v>
      </c>
      <c r="I23" s="871">
        <f t="shared" si="6"/>
        <v>5.8115040505568117E-3</v>
      </c>
      <c r="K23" s="853">
        <f t="shared" si="4"/>
        <v>2032</v>
      </c>
      <c r="L23" s="854">
        <f t="shared" si="9"/>
        <v>1602.8531365828039</v>
      </c>
      <c r="M23" s="864">
        <f t="shared" si="7"/>
        <v>0.53718913776937049</v>
      </c>
      <c r="N23" s="864">
        <f t="shared" si="7"/>
        <v>1.6115173802805305</v>
      </c>
      <c r="O23" s="864">
        <f t="shared" si="7"/>
        <v>5.5939994498409959E-2</v>
      </c>
      <c r="P23" s="864">
        <f t="shared" si="7"/>
        <v>5.1464637959725112E-2</v>
      </c>
      <c r="Q23" s="864">
        <f t="shared" si="7"/>
        <v>1.3389714435272058E-2</v>
      </c>
      <c r="R23" s="865">
        <f t="shared" si="7"/>
        <v>9.3287115172854734E-2</v>
      </c>
    </row>
    <row r="24" spans="2:18" x14ac:dyDescent="0.25">
      <c r="B24" s="853">
        <f t="shared" si="2"/>
        <v>2033</v>
      </c>
      <c r="C24" s="878">
        <f t="shared" si="8"/>
        <v>234.6709962324656</v>
      </c>
      <c r="D24" s="870">
        <f t="shared" si="6"/>
        <v>0.9055473166832082</v>
      </c>
      <c r="E24" s="870">
        <f t="shared" si="6"/>
        <v>2.1319459648649008E-2</v>
      </c>
      <c r="F24" s="870">
        <f t="shared" si="6"/>
        <v>2.3074560480670831E-3</v>
      </c>
      <c r="G24" s="870">
        <f t="shared" si="6"/>
        <v>2.041220846029479E-3</v>
      </c>
      <c r="H24" s="870">
        <f t="shared" si="6"/>
        <v>1.5674789915051794E-3</v>
      </c>
      <c r="I24" s="871">
        <f t="shared" si="6"/>
        <v>5.3234722678015736E-3</v>
      </c>
      <c r="K24" s="853">
        <f t="shared" si="4"/>
        <v>2033</v>
      </c>
      <c r="L24" s="854">
        <f t="shared" si="9"/>
        <v>1599.9653233614795</v>
      </c>
      <c r="M24" s="864">
        <f t="shared" si="7"/>
        <v>0.51227435552093759</v>
      </c>
      <c r="N24" s="864">
        <f t="shared" si="7"/>
        <v>1.5316692835169428</v>
      </c>
      <c r="O24" s="864">
        <f t="shared" si="7"/>
        <v>5.0481513417749202E-2</v>
      </c>
      <c r="P24" s="864">
        <f t="shared" si="7"/>
        <v>4.6442854960332527E-2</v>
      </c>
      <c r="Q24" s="864">
        <f t="shared" si="7"/>
        <v>1.3359656480712448E-2</v>
      </c>
      <c r="R24" s="865">
        <f t="shared" si="7"/>
        <v>8.6684132105264239E-2</v>
      </c>
    </row>
    <row r="25" spans="2:18" x14ac:dyDescent="0.25">
      <c r="B25" s="853">
        <f t="shared" si="2"/>
        <v>2034</v>
      </c>
      <c r="C25" s="879">
        <f t="shared" si="8"/>
        <v>228.78149639476362</v>
      </c>
      <c r="D25" s="872">
        <f t="shared" si="6"/>
        <v>0.83391865918416597</v>
      </c>
      <c r="E25" s="872">
        <f t="shared" si="6"/>
        <v>1.8555221792280314E-2</v>
      </c>
      <c r="F25" s="872">
        <f t="shared" si="6"/>
        <v>2.2077563136959199E-3</v>
      </c>
      <c r="G25" s="872">
        <f t="shared" si="6"/>
        <v>1.9530243962848992E-3</v>
      </c>
      <c r="H25" s="872">
        <f t="shared" si="6"/>
        <v>1.5288030805426032E-3</v>
      </c>
      <c r="I25" s="873">
        <f t="shared" si="6"/>
        <v>4.8354404850463354E-3</v>
      </c>
      <c r="K25" s="853">
        <f t="shared" si="4"/>
        <v>2034</v>
      </c>
      <c r="L25" s="854">
        <f t="shared" si="9"/>
        <v>1597.077510140155</v>
      </c>
      <c r="M25" s="866">
        <f t="shared" si="7"/>
        <v>0.48735957327250462</v>
      </c>
      <c r="N25" s="866">
        <f t="shared" si="7"/>
        <v>1.451821186753355</v>
      </c>
      <c r="O25" s="866">
        <f t="shared" si="7"/>
        <v>4.5023032337088445E-2</v>
      </c>
      <c r="P25" s="866">
        <f t="shared" si="7"/>
        <v>4.1421071960939942E-2</v>
      </c>
      <c r="Q25" s="866">
        <f t="shared" si="7"/>
        <v>1.3329598526152838E-2</v>
      </c>
      <c r="R25" s="867">
        <f t="shared" si="7"/>
        <v>8.0081149037673743E-2</v>
      </c>
    </row>
    <row r="26" spans="2:18" x14ac:dyDescent="0.25">
      <c r="B26" s="851">
        <f t="shared" si="2"/>
        <v>2035</v>
      </c>
      <c r="C26" s="852">
        <f>INDEX(Emission.Raw!$B$50:$H$65,MATCH(Vehicle.Em!$B$6,Emission.Raw!$A$50:$A$65,0),MATCH(Vehicle.Em!C6,Emission.Raw!$B$49:$H$49,0))</f>
        <v>217.00249671935973</v>
      </c>
      <c r="D26" s="860">
        <f>INDEX(Emission.Raw!$B$50:$H$65,MATCH(Vehicle.Em!$B$6,Emission.Raw!$A$50:$A$65,0),MATCH(Vehicle.Em!D6,Emission.Raw!$B$49:$H$49,0))</f>
        <v>0.69066134418608183</v>
      </c>
      <c r="E26" s="860">
        <f>INDEX(Emission.Raw!$B$50:$H$65,MATCH(Vehicle.Em!$B$6,Emission.Raw!$A$50:$A$65,0),MATCH(Vehicle.Em!E6,Emission.Raw!$B$49:$H$49,0))</f>
        <v>1.3026746079542949E-2</v>
      </c>
      <c r="F26" s="860">
        <f>INDEX(Emission.Raw!$B$50:$H$65,MATCH(Vehicle.Em!$B$6,Emission.Raw!$A$50:$A$65,0),MATCH(Vehicle.Em!F6,Emission.Raw!$B$49:$H$49,0))</f>
        <v>2.0083568449535921E-3</v>
      </c>
      <c r="G26" s="860">
        <f>INDEX(Emission.Raw!$B$50:$H$65,MATCH(Vehicle.Em!$B$6,Emission.Raw!$A$50:$A$65,0),MATCH(Vehicle.Em!G6,Emission.Raw!$B$49:$H$49,0))</f>
        <v>1.7766314967957396E-3</v>
      </c>
      <c r="H26" s="860">
        <f>INDEX(Emission.Raw!$B$50:$H$65,MATCH(Vehicle.Em!$B$6,Emission.Raw!$A$50:$A$65,0),MATCH(Vehicle.Em!H6,Emission.Raw!$B$49:$H$49,0))</f>
        <v>1.4514512586174498E-3</v>
      </c>
      <c r="I26" s="861">
        <f>INDEX(Emission.Raw!$B$50:$H$65,MATCH(Vehicle.Em!$B$6,Emission.Raw!$A$50:$A$65,0),MATCH(Vehicle.Em!I6,Emission.Raw!$B$49:$H$49,0))</f>
        <v>3.8593769195358583E-3</v>
      </c>
      <c r="K26" s="851">
        <f t="shared" si="4"/>
        <v>2035</v>
      </c>
      <c r="L26" s="859">
        <f>INDEX(Emission.Raw!$L$50:$R$65,MATCH(Vehicle.Em!$K$6,Emission.Raw!$K$50:$K$65,0),MATCH(Vehicle.Em!L6,Emission.Raw!$L$49:$R$49,0))</f>
        <v>1591.3018836975068</v>
      </c>
      <c r="M26" s="860">
        <f>INDEX(Emission.Raw!$L$50:$R$65,MATCH(Vehicle.Em!$K$6,Emission.Raw!$K$50:$K$65,0),MATCH(Vehicle.Em!M6,Emission.Raw!$L$49:$R$49,0))</f>
        <v>0.43753000877563847</v>
      </c>
      <c r="N26" s="860">
        <f>INDEX(Emission.Raw!$L$50:$R$65,MATCH(Vehicle.Em!$K$6,Emission.Raw!$K$50:$K$65,0),MATCH(Vehicle.Em!N6,Emission.Raw!$L$49:$R$49,0))</f>
        <v>1.2921249932261796</v>
      </c>
      <c r="O26" s="860">
        <f>INDEX(Emission.Raw!$L$50:$R$65,MATCH(Vehicle.Em!$K$6,Emission.Raw!$K$50:$K$65,0),MATCH(Vehicle.Em!O6,Emission.Raw!$L$49:$R$49,0))</f>
        <v>3.4106070175766917E-2</v>
      </c>
      <c r="P26" s="860">
        <f>INDEX(Emission.Raw!$L$50:$R$65,MATCH(Vehicle.Em!$K$6,Emission.Raw!$K$50:$K$65,0),MATCH(Vehicle.Em!P6,Emission.Raw!$L$49:$R$49,0))</f>
        <v>3.13775059621548E-2</v>
      </c>
      <c r="Q26" s="860">
        <f>INDEX(Emission.Raw!$L$50:$R$65,MATCH(Vehicle.Em!$K$6,Emission.Raw!$K$50:$K$65,0),MATCH(Vehicle.Em!Q6,Emission.Raw!$L$49:$R$49,0))</f>
        <v>1.3269482617033621E-2</v>
      </c>
      <c r="R26" s="861">
        <f>INDEX(Emission.Raw!$L$50:$R$65,MATCH(Vehicle.Em!$K$6,Emission.Raw!$K$50:$K$65,0),MATCH(Vehicle.Em!R6,Emission.Raw!$L$49:$R$49,0))</f>
        <v>6.6875182902492711E-2</v>
      </c>
    </row>
    <row r="27" spans="2:18" x14ac:dyDescent="0.25">
      <c r="B27" s="853">
        <f t="shared" si="2"/>
        <v>2036</v>
      </c>
      <c r="C27" s="854">
        <f>C26+(C$36-C$26)/COUNT($B$26:$B$36)</f>
        <v>216.13899681784832</v>
      </c>
      <c r="D27" s="874">
        <f t="shared" ref="D27:I35" si="10">D26+(D$36-D$26)/COUNT($B$26:$B$36)</f>
        <v>0.67983978757150487</v>
      </c>
      <c r="E27" s="874">
        <f t="shared" si="10"/>
        <v>1.2632379006692448E-2</v>
      </c>
      <c r="F27" s="874">
        <f t="shared" si="10"/>
        <v>1.9920774207197239E-3</v>
      </c>
      <c r="G27" s="874">
        <f t="shared" si="10"/>
        <v>1.7622303847701869E-3</v>
      </c>
      <c r="H27" s="874">
        <f t="shared" si="10"/>
        <v>1.4461179631656341E-3</v>
      </c>
      <c r="I27" s="869">
        <f t="shared" si="10"/>
        <v>3.7814814651359117E-3</v>
      </c>
      <c r="K27" s="853">
        <f t="shared" si="4"/>
        <v>2036</v>
      </c>
      <c r="L27" s="877">
        <f>L26+(L$36-L$26)/COUNT($K$26:$K$36)</f>
        <v>1590.9403218356017</v>
      </c>
      <c r="M27" s="868">
        <f t="shared" ref="M27:R35" si="11">M26+(M$36-M$26)/COUNT($K$26:$K$36)</f>
        <v>0.43677758770697667</v>
      </c>
      <c r="N27" s="868">
        <f t="shared" si="11"/>
        <v>1.2878363310805314</v>
      </c>
      <c r="O27" s="868">
        <f t="shared" si="11"/>
        <v>3.390766598749903E-2</v>
      </c>
      <c r="P27" s="868">
        <f t="shared" si="11"/>
        <v>3.1194970638766351E-2</v>
      </c>
      <c r="Q27" s="868">
        <f t="shared" si="11"/>
        <v>1.3266231748275436E-2</v>
      </c>
      <c r="R27" s="869">
        <f t="shared" si="11"/>
        <v>6.6648314131302025E-2</v>
      </c>
    </row>
    <row r="28" spans="2:18" x14ac:dyDescent="0.25">
      <c r="B28" s="853">
        <f t="shared" si="2"/>
        <v>2037</v>
      </c>
      <c r="C28" s="854">
        <f t="shared" ref="C28:C35" si="12">C27+(C$36-C$26)/COUNT($B$26:$B$36)</f>
        <v>215.27549691633692</v>
      </c>
      <c r="D28" s="874">
        <f t="shared" si="10"/>
        <v>0.66901823095692792</v>
      </c>
      <c r="E28" s="874">
        <f t="shared" si="10"/>
        <v>1.2238011933841947E-2</v>
      </c>
      <c r="F28" s="874">
        <f t="shared" si="10"/>
        <v>1.9757979964858557E-3</v>
      </c>
      <c r="G28" s="874">
        <f t="shared" si="10"/>
        <v>1.7478292727446342E-3</v>
      </c>
      <c r="H28" s="874">
        <f t="shared" si="10"/>
        <v>1.4407846677138183E-3</v>
      </c>
      <c r="I28" s="871">
        <f t="shared" si="10"/>
        <v>3.7035860107359651E-3</v>
      </c>
      <c r="K28" s="853">
        <f t="shared" si="4"/>
        <v>2037</v>
      </c>
      <c r="L28" s="878">
        <f t="shared" ref="L28:L35" si="13">L27+(L$36-L$26)/COUNT($K$26:$K$36)</f>
        <v>1590.5787599736966</v>
      </c>
      <c r="M28" s="870">
        <f t="shared" si="11"/>
        <v>0.43602516663831486</v>
      </c>
      <c r="N28" s="870">
        <f t="shared" si="11"/>
        <v>1.2835476689348833</v>
      </c>
      <c r="O28" s="870">
        <f t="shared" si="11"/>
        <v>3.3709261799231144E-2</v>
      </c>
      <c r="P28" s="870">
        <f t="shared" si="11"/>
        <v>3.1012435315377902E-2</v>
      </c>
      <c r="Q28" s="870">
        <f t="shared" si="11"/>
        <v>1.3262980879517251E-2</v>
      </c>
      <c r="R28" s="871">
        <f t="shared" si="11"/>
        <v>6.6421445360111339E-2</v>
      </c>
    </row>
    <row r="29" spans="2:18" x14ac:dyDescent="0.25">
      <c r="B29" s="853">
        <f t="shared" si="2"/>
        <v>2038</v>
      </c>
      <c r="C29" s="854">
        <f t="shared" si="12"/>
        <v>214.41199701482552</v>
      </c>
      <c r="D29" s="874">
        <f t="shared" si="10"/>
        <v>0.65819667434235096</v>
      </c>
      <c r="E29" s="874">
        <f t="shared" si="10"/>
        <v>1.1843644860991445E-2</v>
      </c>
      <c r="F29" s="874">
        <f t="shared" si="10"/>
        <v>1.9595185722519875E-3</v>
      </c>
      <c r="G29" s="874">
        <f t="shared" si="10"/>
        <v>1.7334281607190815E-3</v>
      </c>
      <c r="H29" s="874">
        <f t="shared" si="10"/>
        <v>1.4354513722620026E-3</v>
      </c>
      <c r="I29" s="871">
        <f t="shared" si="10"/>
        <v>3.6256905563360185E-3</v>
      </c>
      <c r="K29" s="853">
        <f t="shared" si="4"/>
        <v>2038</v>
      </c>
      <c r="L29" s="878">
        <f t="shared" si="13"/>
        <v>1590.2171981117915</v>
      </c>
      <c r="M29" s="870">
        <f t="shared" si="11"/>
        <v>0.43527274556965306</v>
      </c>
      <c r="N29" s="870">
        <f t="shared" si="11"/>
        <v>1.2792590067892351</v>
      </c>
      <c r="O29" s="870">
        <f t="shared" si="11"/>
        <v>3.3510857610963257E-2</v>
      </c>
      <c r="P29" s="870">
        <f t="shared" si="11"/>
        <v>3.0829899991989453E-2</v>
      </c>
      <c r="Q29" s="870">
        <f t="shared" si="11"/>
        <v>1.3259730010759066E-2</v>
      </c>
      <c r="R29" s="871">
        <f t="shared" si="11"/>
        <v>6.6194576588920653E-2</v>
      </c>
    </row>
    <row r="30" spans="2:18" x14ac:dyDescent="0.25">
      <c r="B30" s="853">
        <f t="shared" si="2"/>
        <v>2039</v>
      </c>
      <c r="C30" s="854">
        <f t="shared" si="12"/>
        <v>213.54849711331411</v>
      </c>
      <c r="D30" s="874">
        <f t="shared" si="10"/>
        <v>0.64737511772777401</v>
      </c>
      <c r="E30" s="874">
        <f t="shared" si="10"/>
        <v>1.1449277788140944E-2</v>
      </c>
      <c r="F30" s="874">
        <f t="shared" si="10"/>
        <v>1.9432391480181193E-3</v>
      </c>
      <c r="G30" s="874">
        <f t="shared" si="10"/>
        <v>1.7190270486935287E-3</v>
      </c>
      <c r="H30" s="874">
        <f t="shared" si="10"/>
        <v>1.4301180768101869E-3</v>
      </c>
      <c r="I30" s="871">
        <f t="shared" si="10"/>
        <v>3.5477951019360719E-3</v>
      </c>
      <c r="K30" s="853">
        <f t="shared" si="4"/>
        <v>2039</v>
      </c>
      <c r="L30" s="878">
        <f t="shared" si="13"/>
        <v>1589.8556362498864</v>
      </c>
      <c r="M30" s="870">
        <f t="shared" si="11"/>
        <v>0.43452032450099126</v>
      </c>
      <c r="N30" s="870">
        <f t="shared" si="11"/>
        <v>1.2749703446435869</v>
      </c>
      <c r="O30" s="870">
        <f t="shared" si="11"/>
        <v>3.3312453422695371E-2</v>
      </c>
      <c r="P30" s="870">
        <f t="shared" si="11"/>
        <v>3.0647364668601004E-2</v>
      </c>
      <c r="Q30" s="870">
        <f t="shared" si="11"/>
        <v>1.3256479142000881E-2</v>
      </c>
      <c r="R30" s="871">
        <f t="shared" si="11"/>
        <v>6.5967707817729968E-2</v>
      </c>
    </row>
    <row r="31" spans="2:18" x14ac:dyDescent="0.25">
      <c r="B31" s="853">
        <f t="shared" si="2"/>
        <v>2040</v>
      </c>
      <c r="C31" s="854">
        <f t="shared" si="12"/>
        <v>212.68499721180271</v>
      </c>
      <c r="D31" s="874">
        <f t="shared" si="10"/>
        <v>0.63655356111319705</v>
      </c>
      <c r="E31" s="874">
        <f t="shared" si="10"/>
        <v>1.1054910715290443E-2</v>
      </c>
      <c r="F31" s="874">
        <f t="shared" si="10"/>
        <v>1.9269597237842511E-3</v>
      </c>
      <c r="G31" s="874">
        <f t="shared" si="10"/>
        <v>1.704625936667976E-3</v>
      </c>
      <c r="H31" s="874">
        <f t="shared" si="10"/>
        <v>1.4247847813583711E-3</v>
      </c>
      <c r="I31" s="871">
        <f t="shared" si="10"/>
        <v>3.4698996475361252E-3</v>
      </c>
      <c r="K31" s="853">
        <f t="shared" si="4"/>
        <v>2040</v>
      </c>
      <c r="L31" s="878">
        <f t="shared" si="13"/>
        <v>1589.4940743879813</v>
      </c>
      <c r="M31" s="870">
        <f t="shared" si="11"/>
        <v>0.43376790343232946</v>
      </c>
      <c r="N31" s="870">
        <f t="shared" si="11"/>
        <v>1.2706816824979388</v>
      </c>
      <c r="O31" s="870">
        <f t="shared" si="11"/>
        <v>3.3114049234427484E-2</v>
      </c>
      <c r="P31" s="870">
        <f t="shared" si="11"/>
        <v>3.0464829345212555E-2</v>
      </c>
      <c r="Q31" s="870">
        <f t="shared" si="11"/>
        <v>1.3253228273242696E-2</v>
      </c>
      <c r="R31" s="871">
        <f t="shared" si="11"/>
        <v>6.5740839046539282E-2</v>
      </c>
    </row>
    <row r="32" spans="2:18" x14ac:dyDescent="0.25">
      <c r="B32" s="853">
        <f t="shared" si="2"/>
        <v>2041</v>
      </c>
      <c r="C32" s="854">
        <f t="shared" si="12"/>
        <v>211.82149731029131</v>
      </c>
      <c r="D32" s="874">
        <f t="shared" si="10"/>
        <v>0.6257320044986201</v>
      </c>
      <c r="E32" s="874">
        <f t="shared" si="10"/>
        <v>1.0660543642439941E-2</v>
      </c>
      <c r="F32" s="874">
        <f t="shared" si="10"/>
        <v>1.9106802995503829E-3</v>
      </c>
      <c r="G32" s="874">
        <f t="shared" si="10"/>
        <v>1.6902248246424233E-3</v>
      </c>
      <c r="H32" s="874">
        <f t="shared" si="10"/>
        <v>1.4194514859065554E-3</v>
      </c>
      <c r="I32" s="871">
        <f t="shared" si="10"/>
        <v>3.3920041931361786E-3</v>
      </c>
      <c r="K32" s="853">
        <f t="shared" si="4"/>
        <v>2041</v>
      </c>
      <c r="L32" s="878">
        <f t="shared" si="13"/>
        <v>1589.1325125260762</v>
      </c>
      <c r="M32" s="870">
        <f t="shared" si="11"/>
        <v>0.43301548236366766</v>
      </c>
      <c r="N32" s="870">
        <f t="shared" si="11"/>
        <v>1.2663930203522906</v>
      </c>
      <c r="O32" s="870">
        <f t="shared" si="11"/>
        <v>3.2915645046159597E-2</v>
      </c>
      <c r="P32" s="870">
        <f t="shared" si="11"/>
        <v>3.0282294021824106E-2</v>
      </c>
      <c r="Q32" s="870">
        <f t="shared" si="11"/>
        <v>1.3249977404484511E-2</v>
      </c>
      <c r="R32" s="871">
        <f t="shared" si="11"/>
        <v>6.5513970275348596E-2</v>
      </c>
    </row>
    <row r="33" spans="2:18" x14ac:dyDescent="0.25">
      <c r="B33" s="853">
        <f t="shared" si="2"/>
        <v>2042</v>
      </c>
      <c r="C33" s="854">
        <f t="shared" si="12"/>
        <v>210.9579974087799</v>
      </c>
      <c r="D33" s="874">
        <f t="shared" si="10"/>
        <v>0.61491044788404314</v>
      </c>
      <c r="E33" s="874">
        <f t="shared" si="10"/>
        <v>1.026617656958944E-2</v>
      </c>
      <c r="F33" s="874">
        <f t="shared" si="10"/>
        <v>1.8944008753165147E-3</v>
      </c>
      <c r="G33" s="874">
        <f t="shared" si="10"/>
        <v>1.6758237126168706E-3</v>
      </c>
      <c r="H33" s="874">
        <f t="shared" si="10"/>
        <v>1.4141181904547397E-3</v>
      </c>
      <c r="I33" s="871">
        <f t="shared" si="10"/>
        <v>3.314108738736232E-3</v>
      </c>
      <c r="K33" s="853">
        <f t="shared" si="4"/>
        <v>2042</v>
      </c>
      <c r="L33" s="878">
        <f t="shared" si="13"/>
        <v>1588.7709506641711</v>
      </c>
      <c r="M33" s="870">
        <f t="shared" si="11"/>
        <v>0.43226306129500586</v>
      </c>
      <c r="N33" s="870">
        <f t="shared" si="11"/>
        <v>1.2621043582066425</v>
      </c>
      <c r="O33" s="870">
        <f t="shared" si="11"/>
        <v>3.2717240857891711E-2</v>
      </c>
      <c r="P33" s="870">
        <f t="shared" si="11"/>
        <v>3.0099758698435657E-2</v>
      </c>
      <c r="Q33" s="870">
        <f t="shared" si="11"/>
        <v>1.3246726535726326E-2</v>
      </c>
      <c r="R33" s="871">
        <f t="shared" si="11"/>
        <v>6.528710150415791E-2</v>
      </c>
    </row>
    <row r="34" spans="2:18" x14ac:dyDescent="0.25">
      <c r="B34" s="853">
        <f t="shared" si="2"/>
        <v>2043</v>
      </c>
      <c r="C34" s="854">
        <f t="shared" si="12"/>
        <v>210.0944975072685</v>
      </c>
      <c r="D34" s="874">
        <f t="shared" si="10"/>
        <v>0.60408889126946619</v>
      </c>
      <c r="E34" s="874">
        <f t="shared" si="10"/>
        <v>9.8718094967389387E-3</v>
      </c>
      <c r="F34" s="874">
        <f t="shared" si="10"/>
        <v>1.8781214510826465E-3</v>
      </c>
      <c r="G34" s="874">
        <f t="shared" si="10"/>
        <v>1.6614226005913179E-3</v>
      </c>
      <c r="H34" s="874">
        <f t="shared" si="10"/>
        <v>1.4087848950029239E-3</v>
      </c>
      <c r="I34" s="871">
        <f t="shared" si="10"/>
        <v>3.2362132843362854E-3</v>
      </c>
      <c r="K34" s="853">
        <f t="shared" si="4"/>
        <v>2043</v>
      </c>
      <c r="L34" s="878">
        <f t="shared" si="13"/>
        <v>1588.409388802266</v>
      </c>
      <c r="M34" s="870">
        <f t="shared" si="11"/>
        <v>0.43151064022634406</v>
      </c>
      <c r="N34" s="870">
        <f t="shared" si="11"/>
        <v>1.2578156960609943</v>
      </c>
      <c r="O34" s="870">
        <f t="shared" si="11"/>
        <v>3.2518836669623824E-2</v>
      </c>
      <c r="P34" s="870">
        <f t="shared" si="11"/>
        <v>2.9917223375047208E-2</v>
      </c>
      <c r="Q34" s="870">
        <f t="shared" si="11"/>
        <v>1.3243475666968142E-2</v>
      </c>
      <c r="R34" s="871">
        <f t="shared" si="11"/>
        <v>6.5060232732967224E-2</v>
      </c>
    </row>
    <row r="35" spans="2:18" x14ac:dyDescent="0.25">
      <c r="B35" s="853">
        <f t="shared" si="2"/>
        <v>2044</v>
      </c>
      <c r="C35" s="854">
        <f t="shared" si="12"/>
        <v>209.2309976057571</v>
      </c>
      <c r="D35" s="874">
        <f t="shared" si="10"/>
        <v>0.59326733465488923</v>
      </c>
      <c r="E35" s="874">
        <f t="shared" si="10"/>
        <v>9.4774424238884374E-3</v>
      </c>
      <c r="F35" s="874">
        <f t="shared" si="10"/>
        <v>1.8618420268487782E-3</v>
      </c>
      <c r="G35" s="874">
        <f t="shared" si="10"/>
        <v>1.6470214885657651E-3</v>
      </c>
      <c r="H35" s="874">
        <f t="shared" si="10"/>
        <v>1.4034515995511082E-3</v>
      </c>
      <c r="I35" s="873">
        <f t="shared" si="10"/>
        <v>3.1583178299363387E-3</v>
      </c>
      <c r="K35" s="853">
        <f t="shared" si="4"/>
        <v>2044</v>
      </c>
      <c r="L35" s="879">
        <f t="shared" si="13"/>
        <v>1588.0478269403609</v>
      </c>
      <c r="M35" s="872">
        <f t="shared" si="11"/>
        <v>0.43075821915768225</v>
      </c>
      <c r="N35" s="872">
        <f t="shared" si="11"/>
        <v>1.2535270339153461</v>
      </c>
      <c r="O35" s="872">
        <f t="shared" si="11"/>
        <v>3.2320432481355937E-2</v>
      </c>
      <c r="P35" s="872">
        <f t="shared" si="11"/>
        <v>2.9734688051658759E-2</v>
      </c>
      <c r="Q35" s="872">
        <f t="shared" si="11"/>
        <v>1.3240224798209957E-2</v>
      </c>
      <c r="R35" s="873">
        <f t="shared" si="11"/>
        <v>6.4833363961776538E-2</v>
      </c>
    </row>
    <row r="36" spans="2:18" x14ac:dyDescent="0.25">
      <c r="B36" s="851">
        <f t="shared" si="2"/>
        <v>2045</v>
      </c>
      <c r="C36" s="852">
        <f>INDEX(Emission.Raw!$B$72:$H$87,MATCH(Vehicle.Em!$B$6,Emission.Raw!$A$72:$A$87,0),MATCH(Vehicle.Em!C6,Emission.Raw!$B$71:$H$71,0))</f>
        <v>207.50399780273426</v>
      </c>
      <c r="D36" s="860">
        <f>INDEX(Emission.Raw!$B$72:$H$87,MATCH(Vehicle.Em!$B$6,Emission.Raw!$A$72:$A$87,0),MATCH(Vehicle.Em!D6,Emission.Raw!$B$71:$H$71,0))</f>
        <v>0.57162422142573566</v>
      </c>
      <c r="E36" s="860">
        <f>INDEX(Emission.Raw!$B$72:$H$87,MATCH(Vehicle.Em!$B$6,Emission.Raw!$A$72:$A$87,0),MATCH(Vehicle.Em!E6,Emission.Raw!$B$71:$H$71,0))</f>
        <v>8.688708278187433E-3</v>
      </c>
      <c r="F36" s="860">
        <f>INDEX(Emission.Raw!$B$72:$H$87,MATCH(Vehicle.Em!$B$6,Emission.Raw!$A$72:$A$87,0),MATCH(Vehicle.Em!F6,Emission.Raw!$B$71:$H$71,0))</f>
        <v>1.8292831783810425E-3</v>
      </c>
      <c r="G36" s="860">
        <f>INDEX(Emission.Raw!$B$72:$H$87,MATCH(Vehicle.Em!$B$6,Emission.Raw!$A$72:$A$87,0),MATCH(Vehicle.Em!G6,Emission.Raw!$B$71:$H$71,0))</f>
        <v>1.6182192645146601E-3</v>
      </c>
      <c r="H36" s="860">
        <f>INDEX(Emission.Raw!$B$72:$H$87,MATCH(Vehicle.Em!$B$6,Emission.Raw!$A$72:$A$87,0),MATCH(Vehicle.Em!H6,Emission.Raw!$B$71:$H$71,0))</f>
        <v>1.3927850086474761E-3</v>
      </c>
      <c r="I36" s="861">
        <f>INDEX(Emission.Raw!$B$72:$H$87,MATCH(Vehicle.Em!$B$6,Emission.Raw!$A$72:$A$87,0),MATCH(Vehicle.Em!I6,Emission.Raw!$B$71:$H$71,0))</f>
        <v>3.0025269211364477E-3</v>
      </c>
      <c r="K36" s="851">
        <f t="shared" si="4"/>
        <v>2045</v>
      </c>
      <c r="L36" s="859">
        <f>INDEX(Emission.Raw!$L$72:$R$87,MATCH(Vehicle.Em!$K$6,Emission.Raw!$K$72:$K$87,0),MATCH(Vehicle.Em!L6,Emission.Raw!$L$71:$R$71,0))</f>
        <v>1587.32470321655</v>
      </c>
      <c r="M36" s="860">
        <f>INDEX(Emission.Raw!$L$72:$R$87,MATCH(Vehicle.Em!$K$6,Emission.Raw!$K$72:$K$87,0),MATCH(Vehicle.Em!M6,Emission.Raw!$L$71:$R$71,0))</f>
        <v>0.42925337702035887</v>
      </c>
      <c r="N36" s="860">
        <f>INDEX(Emission.Raw!$L$72:$R$87,MATCH(Vehicle.Em!$K$6,Emission.Raw!$K$72:$K$87,0),MATCH(Vehicle.Em!N6,Emission.Raw!$L$71:$R$71,0))</f>
        <v>1.2449497096240496</v>
      </c>
      <c r="O36" s="860">
        <f>INDEX(Emission.Raw!$L$72:$R$87,MATCH(Vehicle.Em!$K$6,Emission.Raw!$K$72:$K$87,0),MATCH(Vehicle.Em!O6,Emission.Raw!$L$71:$R$71,0))</f>
        <v>3.1923624104820178E-2</v>
      </c>
      <c r="P36" s="860">
        <f>INDEX(Emission.Raw!$L$72:$R$87,MATCH(Vehicle.Em!$K$6,Emission.Raw!$K$72:$K$87,0),MATCH(Vehicle.Em!P6,Emission.Raw!$L$71:$R$71,0))</f>
        <v>2.9369617404881844E-2</v>
      </c>
      <c r="Q36" s="860">
        <f>INDEX(Emission.Raw!$L$72:$R$87,MATCH(Vehicle.Em!$K$6,Emission.Raw!$K$72:$K$87,0),MATCH(Vehicle.Em!Q6,Emission.Raw!$L$71:$R$71,0))</f>
        <v>1.3233723060693585E-2</v>
      </c>
      <c r="R36" s="861">
        <f>INDEX(Emission.Raw!$L$72:$R$87,MATCH(Vehicle.Em!$K$6,Emission.Raw!$K$72:$K$87,0),MATCH(Vehicle.Em!R6,Emission.Raw!$L$71:$R$71,0))</f>
        <v>6.4379626419395181E-2</v>
      </c>
    </row>
    <row r="37" spans="2:18" x14ac:dyDescent="0.25">
      <c r="B37" s="855">
        <f t="shared" si="2"/>
        <v>2046</v>
      </c>
      <c r="C37" s="856">
        <f>C36</f>
        <v>207.50399780273426</v>
      </c>
      <c r="D37" s="875">
        <f t="shared" ref="D37:I44" si="14">D36</f>
        <v>0.57162422142573566</v>
      </c>
      <c r="E37" s="875">
        <f t="shared" si="14"/>
        <v>8.688708278187433E-3</v>
      </c>
      <c r="F37" s="875">
        <f t="shared" si="14"/>
        <v>1.8292831783810425E-3</v>
      </c>
      <c r="G37" s="875">
        <f t="shared" si="14"/>
        <v>1.6182192645146601E-3</v>
      </c>
      <c r="H37" s="875">
        <f t="shared" si="14"/>
        <v>1.3927850086474761E-3</v>
      </c>
      <c r="I37" s="876">
        <f t="shared" si="14"/>
        <v>3.0025269211364477E-3</v>
      </c>
      <c r="K37" s="855">
        <f t="shared" si="4"/>
        <v>2046</v>
      </c>
      <c r="L37" s="856">
        <f>L36</f>
        <v>1587.32470321655</v>
      </c>
      <c r="M37" s="857">
        <f t="shared" ref="M37:R37" si="15">M36</f>
        <v>0.42925337702035887</v>
      </c>
      <c r="N37" s="857">
        <f t="shared" si="15"/>
        <v>1.2449497096240496</v>
      </c>
      <c r="O37" s="857">
        <f t="shared" si="15"/>
        <v>3.1923624104820178E-2</v>
      </c>
      <c r="P37" s="857">
        <f t="shared" si="15"/>
        <v>2.9369617404881844E-2</v>
      </c>
      <c r="Q37" s="857">
        <f t="shared" si="15"/>
        <v>1.3233723060693585E-2</v>
      </c>
      <c r="R37" s="858">
        <f t="shared" si="15"/>
        <v>6.4379626419395181E-2</v>
      </c>
    </row>
    <row r="38" spans="2:18" x14ac:dyDescent="0.25">
      <c r="B38" s="855">
        <f t="shared" si="2"/>
        <v>2047</v>
      </c>
      <c r="C38" s="856">
        <f t="shared" ref="C38:C44" si="16">C37</f>
        <v>207.50399780273426</v>
      </c>
      <c r="D38" s="875">
        <f t="shared" si="14"/>
        <v>0.57162422142573566</v>
      </c>
      <c r="E38" s="875">
        <f t="shared" si="14"/>
        <v>8.688708278187433E-3</v>
      </c>
      <c r="F38" s="875">
        <f t="shared" si="14"/>
        <v>1.8292831783810425E-3</v>
      </c>
      <c r="G38" s="875">
        <f t="shared" si="14"/>
        <v>1.6182192645146601E-3</v>
      </c>
      <c r="H38" s="875">
        <f t="shared" si="14"/>
        <v>1.3927850086474761E-3</v>
      </c>
      <c r="I38" s="876">
        <f t="shared" si="14"/>
        <v>3.0025269211364477E-3</v>
      </c>
      <c r="K38" s="855">
        <f t="shared" si="4"/>
        <v>2047</v>
      </c>
      <c r="L38" s="856">
        <f t="shared" ref="L38:R44" si="17">L37</f>
        <v>1587.32470321655</v>
      </c>
      <c r="M38" s="857">
        <f t="shared" si="17"/>
        <v>0.42925337702035887</v>
      </c>
      <c r="N38" s="857">
        <f t="shared" si="17"/>
        <v>1.2449497096240496</v>
      </c>
      <c r="O38" s="857">
        <f t="shared" si="17"/>
        <v>3.1923624104820178E-2</v>
      </c>
      <c r="P38" s="857">
        <f t="shared" si="17"/>
        <v>2.9369617404881844E-2</v>
      </c>
      <c r="Q38" s="857">
        <f t="shared" si="17"/>
        <v>1.3233723060693585E-2</v>
      </c>
      <c r="R38" s="858">
        <f t="shared" si="17"/>
        <v>6.4379626419395181E-2</v>
      </c>
    </row>
    <row r="39" spans="2:18" x14ac:dyDescent="0.25">
      <c r="B39" s="855">
        <f t="shared" si="2"/>
        <v>2048</v>
      </c>
      <c r="C39" s="856">
        <f t="shared" si="16"/>
        <v>207.50399780273426</v>
      </c>
      <c r="D39" s="875">
        <f t="shared" si="14"/>
        <v>0.57162422142573566</v>
      </c>
      <c r="E39" s="875">
        <f t="shared" si="14"/>
        <v>8.688708278187433E-3</v>
      </c>
      <c r="F39" s="875">
        <f t="shared" si="14"/>
        <v>1.8292831783810425E-3</v>
      </c>
      <c r="G39" s="875">
        <f t="shared" si="14"/>
        <v>1.6182192645146601E-3</v>
      </c>
      <c r="H39" s="875">
        <f t="shared" si="14"/>
        <v>1.3927850086474761E-3</v>
      </c>
      <c r="I39" s="876">
        <f t="shared" si="14"/>
        <v>3.0025269211364477E-3</v>
      </c>
      <c r="K39" s="855">
        <f t="shared" si="4"/>
        <v>2048</v>
      </c>
      <c r="L39" s="856">
        <f t="shared" si="17"/>
        <v>1587.32470321655</v>
      </c>
      <c r="M39" s="857">
        <f t="shared" si="17"/>
        <v>0.42925337702035887</v>
      </c>
      <c r="N39" s="857">
        <f t="shared" si="17"/>
        <v>1.2449497096240496</v>
      </c>
      <c r="O39" s="857">
        <f t="shared" si="17"/>
        <v>3.1923624104820178E-2</v>
      </c>
      <c r="P39" s="857">
        <f t="shared" si="17"/>
        <v>2.9369617404881844E-2</v>
      </c>
      <c r="Q39" s="857">
        <f t="shared" si="17"/>
        <v>1.3233723060693585E-2</v>
      </c>
      <c r="R39" s="858">
        <f t="shared" si="17"/>
        <v>6.4379626419395181E-2</v>
      </c>
    </row>
    <row r="40" spans="2:18" x14ac:dyDescent="0.25">
      <c r="B40" s="855">
        <f t="shared" si="2"/>
        <v>2049</v>
      </c>
      <c r="C40" s="856">
        <f t="shared" si="16"/>
        <v>207.50399780273426</v>
      </c>
      <c r="D40" s="875">
        <f t="shared" si="14"/>
        <v>0.57162422142573566</v>
      </c>
      <c r="E40" s="875">
        <f t="shared" si="14"/>
        <v>8.688708278187433E-3</v>
      </c>
      <c r="F40" s="875">
        <f t="shared" si="14"/>
        <v>1.8292831783810425E-3</v>
      </c>
      <c r="G40" s="875">
        <f t="shared" si="14"/>
        <v>1.6182192645146601E-3</v>
      </c>
      <c r="H40" s="875">
        <f t="shared" si="14"/>
        <v>1.3927850086474761E-3</v>
      </c>
      <c r="I40" s="876">
        <f t="shared" si="14"/>
        <v>3.0025269211364477E-3</v>
      </c>
      <c r="K40" s="855">
        <f t="shared" si="4"/>
        <v>2049</v>
      </c>
      <c r="L40" s="856">
        <f t="shared" si="17"/>
        <v>1587.32470321655</v>
      </c>
      <c r="M40" s="857">
        <f t="shared" si="17"/>
        <v>0.42925337702035887</v>
      </c>
      <c r="N40" s="857">
        <f t="shared" si="17"/>
        <v>1.2449497096240496</v>
      </c>
      <c r="O40" s="857">
        <f t="shared" si="17"/>
        <v>3.1923624104820178E-2</v>
      </c>
      <c r="P40" s="857">
        <f t="shared" si="17"/>
        <v>2.9369617404881844E-2</v>
      </c>
      <c r="Q40" s="857">
        <f t="shared" si="17"/>
        <v>1.3233723060693585E-2</v>
      </c>
      <c r="R40" s="858">
        <f t="shared" si="17"/>
        <v>6.4379626419395181E-2</v>
      </c>
    </row>
    <row r="41" spans="2:18" x14ac:dyDescent="0.25">
      <c r="B41" s="855">
        <f t="shared" si="2"/>
        <v>2050</v>
      </c>
      <c r="C41" s="856">
        <f t="shared" si="16"/>
        <v>207.50399780273426</v>
      </c>
      <c r="D41" s="875">
        <f t="shared" si="14"/>
        <v>0.57162422142573566</v>
      </c>
      <c r="E41" s="875">
        <f t="shared" si="14"/>
        <v>8.688708278187433E-3</v>
      </c>
      <c r="F41" s="875">
        <f t="shared" si="14"/>
        <v>1.8292831783810425E-3</v>
      </c>
      <c r="G41" s="875">
        <f t="shared" si="14"/>
        <v>1.6182192645146601E-3</v>
      </c>
      <c r="H41" s="875">
        <f t="shared" si="14"/>
        <v>1.3927850086474761E-3</v>
      </c>
      <c r="I41" s="876">
        <f t="shared" si="14"/>
        <v>3.0025269211364477E-3</v>
      </c>
      <c r="K41" s="855">
        <f t="shared" si="4"/>
        <v>2050</v>
      </c>
      <c r="L41" s="856">
        <f t="shared" si="17"/>
        <v>1587.32470321655</v>
      </c>
      <c r="M41" s="857">
        <f t="shared" si="17"/>
        <v>0.42925337702035887</v>
      </c>
      <c r="N41" s="857">
        <f t="shared" si="17"/>
        <v>1.2449497096240496</v>
      </c>
      <c r="O41" s="857">
        <f t="shared" si="17"/>
        <v>3.1923624104820178E-2</v>
      </c>
      <c r="P41" s="857">
        <f t="shared" si="17"/>
        <v>2.9369617404881844E-2</v>
      </c>
      <c r="Q41" s="857">
        <f t="shared" si="17"/>
        <v>1.3233723060693585E-2</v>
      </c>
      <c r="R41" s="858">
        <f t="shared" si="17"/>
        <v>6.4379626419395181E-2</v>
      </c>
    </row>
    <row r="42" spans="2:18" x14ac:dyDescent="0.25">
      <c r="B42" s="855">
        <f t="shared" si="2"/>
        <v>2051</v>
      </c>
      <c r="C42" s="856">
        <f t="shared" si="16"/>
        <v>207.50399780273426</v>
      </c>
      <c r="D42" s="875">
        <f t="shared" si="14"/>
        <v>0.57162422142573566</v>
      </c>
      <c r="E42" s="875">
        <f t="shared" si="14"/>
        <v>8.688708278187433E-3</v>
      </c>
      <c r="F42" s="875">
        <f t="shared" si="14"/>
        <v>1.8292831783810425E-3</v>
      </c>
      <c r="G42" s="875">
        <f t="shared" si="14"/>
        <v>1.6182192645146601E-3</v>
      </c>
      <c r="H42" s="875">
        <f t="shared" si="14"/>
        <v>1.3927850086474761E-3</v>
      </c>
      <c r="I42" s="876">
        <f t="shared" si="14"/>
        <v>3.0025269211364477E-3</v>
      </c>
      <c r="K42" s="855">
        <f t="shared" si="4"/>
        <v>2051</v>
      </c>
      <c r="L42" s="856">
        <f t="shared" si="17"/>
        <v>1587.32470321655</v>
      </c>
      <c r="M42" s="857">
        <f t="shared" si="17"/>
        <v>0.42925337702035887</v>
      </c>
      <c r="N42" s="857">
        <f t="shared" si="17"/>
        <v>1.2449497096240496</v>
      </c>
      <c r="O42" s="857">
        <f t="shared" si="17"/>
        <v>3.1923624104820178E-2</v>
      </c>
      <c r="P42" s="857">
        <f t="shared" si="17"/>
        <v>2.9369617404881844E-2</v>
      </c>
      <c r="Q42" s="857">
        <f t="shared" si="17"/>
        <v>1.3233723060693585E-2</v>
      </c>
      <c r="R42" s="858">
        <f t="shared" si="17"/>
        <v>6.4379626419395181E-2</v>
      </c>
    </row>
    <row r="43" spans="2:18" x14ac:dyDescent="0.25">
      <c r="B43" s="855">
        <f t="shared" si="2"/>
        <v>2052</v>
      </c>
      <c r="C43" s="856">
        <f t="shared" si="16"/>
        <v>207.50399780273426</v>
      </c>
      <c r="D43" s="875">
        <f t="shared" si="14"/>
        <v>0.57162422142573566</v>
      </c>
      <c r="E43" s="875">
        <f t="shared" si="14"/>
        <v>8.688708278187433E-3</v>
      </c>
      <c r="F43" s="875">
        <f t="shared" si="14"/>
        <v>1.8292831783810425E-3</v>
      </c>
      <c r="G43" s="875">
        <f t="shared" si="14"/>
        <v>1.6182192645146601E-3</v>
      </c>
      <c r="H43" s="875">
        <f t="shared" si="14"/>
        <v>1.3927850086474761E-3</v>
      </c>
      <c r="I43" s="876">
        <f t="shared" si="14"/>
        <v>3.0025269211364477E-3</v>
      </c>
      <c r="K43" s="855">
        <f t="shared" si="4"/>
        <v>2052</v>
      </c>
      <c r="L43" s="856">
        <f t="shared" si="17"/>
        <v>1587.32470321655</v>
      </c>
      <c r="M43" s="857">
        <f t="shared" si="17"/>
        <v>0.42925337702035887</v>
      </c>
      <c r="N43" s="857">
        <f t="shared" si="17"/>
        <v>1.2449497096240496</v>
      </c>
      <c r="O43" s="857">
        <f t="shared" si="17"/>
        <v>3.1923624104820178E-2</v>
      </c>
      <c r="P43" s="857">
        <f t="shared" si="17"/>
        <v>2.9369617404881844E-2</v>
      </c>
      <c r="Q43" s="857">
        <f t="shared" si="17"/>
        <v>1.3233723060693585E-2</v>
      </c>
      <c r="R43" s="858">
        <f t="shared" si="17"/>
        <v>6.4379626419395181E-2</v>
      </c>
    </row>
    <row r="44" spans="2:18" x14ac:dyDescent="0.25">
      <c r="B44" s="855">
        <f t="shared" si="2"/>
        <v>2053</v>
      </c>
      <c r="C44" s="856">
        <f t="shared" si="16"/>
        <v>207.50399780273426</v>
      </c>
      <c r="D44" s="875">
        <f t="shared" si="14"/>
        <v>0.57162422142573566</v>
      </c>
      <c r="E44" s="875">
        <f t="shared" si="14"/>
        <v>8.688708278187433E-3</v>
      </c>
      <c r="F44" s="875">
        <f t="shared" si="14"/>
        <v>1.8292831783810425E-3</v>
      </c>
      <c r="G44" s="875">
        <f t="shared" si="14"/>
        <v>1.6182192645146601E-3</v>
      </c>
      <c r="H44" s="875">
        <f t="shared" si="14"/>
        <v>1.3927850086474761E-3</v>
      </c>
      <c r="I44" s="876">
        <f t="shared" si="14"/>
        <v>3.0025269211364477E-3</v>
      </c>
      <c r="K44" s="855">
        <f t="shared" si="4"/>
        <v>2053</v>
      </c>
      <c r="L44" s="856">
        <f t="shared" si="17"/>
        <v>1587.32470321655</v>
      </c>
      <c r="M44" s="857">
        <f t="shared" si="17"/>
        <v>0.42925337702035887</v>
      </c>
      <c r="N44" s="857">
        <f t="shared" si="17"/>
        <v>1.2449497096240496</v>
      </c>
      <c r="O44" s="857">
        <f t="shared" si="17"/>
        <v>3.1923624104820178E-2</v>
      </c>
      <c r="P44" s="857">
        <f t="shared" si="17"/>
        <v>2.9369617404881844E-2</v>
      </c>
      <c r="Q44" s="857">
        <f t="shared" si="17"/>
        <v>1.3233723060693585E-2</v>
      </c>
      <c r="R44" s="858">
        <f t="shared" si="17"/>
        <v>6.4379626419395181E-2</v>
      </c>
    </row>
  </sheetData>
  <pageMargins left="0.7" right="0.7" top="0.75" bottom="0.75" header="0.3" footer="0.3"/>
  <pageSetup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91"/>
  <sheetViews>
    <sheetView showGridLines="0" workbookViewId="0"/>
  </sheetViews>
  <sheetFormatPr defaultColWidth="7.77734375" defaultRowHeight="15.05" x14ac:dyDescent="0.3"/>
  <cols>
    <col min="1" max="1" width="15.33203125" style="637" customWidth="1"/>
    <col min="2" max="2" width="10.77734375" style="637" bestFit="1" customWidth="1"/>
    <col min="3" max="8" width="8.77734375" style="637" customWidth="1"/>
    <col min="9" max="10" width="7.77734375" style="637"/>
    <col min="11" max="11" width="14.109375" style="637" customWidth="1"/>
    <col min="12" max="12" width="11.6640625" style="637" customWidth="1"/>
    <col min="13" max="18" width="9.109375" style="637" customWidth="1"/>
    <col min="19" max="16384" width="7.77734375" style="637"/>
  </cols>
  <sheetData>
    <row r="1" spans="1:18" x14ac:dyDescent="0.3">
      <c r="A1" s="637" t="s">
        <v>784</v>
      </c>
      <c r="B1" s="841">
        <v>2016</v>
      </c>
      <c r="K1" s="637" t="s">
        <v>784</v>
      </c>
      <c r="L1" s="841">
        <v>2016</v>
      </c>
    </row>
    <row r="2" spans="1:18" x14ac:dyDescent="0.3">
      <c r="A2" s="637" t="s">
        <v>785</v>
      </c>
      <c r="B2" s="841" t="s">
        <v>786</v>
      </c>
      <c r="K2" s="637" t="s">
        <v>785</v>
      </c>
      <c r="L2" s="841" t="s">
        <v>198</v>
      </c>
    </row>
    <row r="3" spans="1:18" x14ac:dyDescent="0.3">
      <c r="A3" s="637" t="s">
        <v>787</v>
      </c>
      <c r="B3" s="841" t="s">
        <v>788</v>
      </c>
      <c r="K3" s="637" t="s">
        <v>787</v>
      </c>
      <c r="L3" s="841" t="s">
        <v>789</v>
      </c>
    </row>
    <row r="5" spans="1:18" x14ac:dyDescent="0.3">
      <c r="A5" s="637" t="s">
        <v>790</v>
      </c>
      <c r="B5" s="842" t="s">
        <v>537</v>
      </c>
      <c r="C5" s="842" t="s">
        <v>536</v>
      </c>
      <c r="D5" s="842" t="s">
        <v>538</v>
      </c>
      <c r="E5" s="842" t="s">
        <v>539</v>
      </c>
      <c r="F5" s="842" t="s">
        <v>540</v>
      </c>
      <c r="G5" s="842" t="s">
        <v>542</v>
      </c>
      <c r="H5" s="842" t="s">
        <v>541</v>
      </c>
      <c r="K5" s="637" t="s">
        <v>790</v>
      </c>
      <c r="L5" s="842" t="s">
        <v>537</v>
      </c>
      <c r="M5" s="842" t="s">
        <v>536</v>
      </c>
      <c r="N5" s="842" t="s">
        <v>538</v>
      </c>
      <c r="O5" s="842" t="s">
        <v>539</v>
      </c>
      <c r="P5" s="842" t="s">
        <v>540</v>
      </c>
      <c r="Q5" s="842" t="s">
        <v>542</v>
      </c>
      <c r="R5" s="842" t="s">
        <v>541</v>
      </c>
    </row>
    <row r="6" spans="1:18" x14ac:dyDescent="0.3">
      <c r="A6" s="637">
        <v>2.5</v>
      </c>
      <c r="B6" s="843">
        <v>1886.4424896240191</v>
      </c>
      <c r="C6" s="844">
        <v>10.225076843111291</v>
      </c>
      <c r="D6" s="844">
        <v>0.65227847361109037</v>
      </c>
      <c r="E6" s="844">
        <v>2.5832727709712289E-2</v>
      </c>
      <c r="F6" s="844">
        <v>2.285211610251275E-2</v>
      </c>
      <c r="G6" s="844">
        <v>3.7612769752740825E-2</v>
      </c>
      <c r="H6" s="844">
        <v>0.35135629432625065</v>
      </c>
      <c r="K6" s="637">
        <v>2.5</v>
      </c>
      <c r="L6" s="843">
        <v>8009.9956207275391</v>
      </c>
      <c r="M6" s="844">
        <v>10.617863359162536</v>
      </c>
      <c r="N6" s="844">
        <v>32.846363637392621</v>
      </c>
      <c r="O6" s="844">
        <v>2.0466597210615847</v>
      </c>
      <c r="P6" s="844">
        <v>1.8829215848818386</v>
      </c>
      <c r="Q6" s="844">
        <v>6.8373481044545756E-2</v>
      </c>
      <c r="R6" s="844">
        <v>3.7061080785933864</v>
      </c>
    </row>
    <row r="7" spans="1:18" x14ac:dyDescent="0.3">
      <c r="A7" s="637">
        <v>5</v>
      </c>
      <c r="B7" s="843">
        <v>1048.3937683105448</v>
      </c>
      <c r="C7" s="844">
        <v>6.2343402523547358</v>
      </c>
      <c r="D7" s="844">
        <v>0.47743703698665707</v>
      </c>
      <c r="E7" s="844">
        <v>1.6102673753266527E-2</v>
      </c>
      <c r="F7" s="844">
        <v>1.4244734652947922E-2</v>
      </c>
      <c r="G7" s="844">
        <v>2.0903349621221375E-2</v>
      </c>
      <c r="H7" s="844">
        <v>0.19609649782068994</v>
      </c>
      <c r="K7" s="637">
        <v>5</v>
      </c>
      <c r="L7" s="843">
        <v>4202.4984893798828</v>
      </c>
      <c r="M7" s="844">
        <v>6.0092521217302401</v>
      </c>
      <c r="N7" s="844">
        <v>16.631968543806529</v>
      </c>
      <c r="O7" s="844">
        <v>1.0579752926714687</v>
      </c>
      <c r="P7" s="844">
        <v>0.97333444049581719</v>
      </c>
      <c r="Q7" s="844">
        <v>3.5877853108104298E-2</v>
      </c>
      <c r="R7" s="844">
        <v>2.0351355142192875</v>
      </c>
    </row>
    <row r="8" spans="1:18" x14ac:dyDescent="0.3">
      <c r="A8" s="637">
        <v>10</v>
      </c>
      <c r="B8" s="843">
        <v>630.13436889648392</v>
      </c>
      <c r="C8" s="844">
        <v>4.2223364209785297</v>
      </c>
      <c r="D8" s="844">
        <v>0.38233066752297812</v>
      </c>
      <c r="E8" s="844">
        <v>1.0917478669853138E-2</v>
      </c>
      <c r="F8" s="844">
        <v>9.6578137215601462E-3</v>
      </c>
      <c r="G8" s="844">
        <v>1.2563887634314548E-2</v>
      </c>
      <c r="H8" s="844">
        <v>0.11739726748783089</v>
      </c>
      <c r="K8" s="637">
        <v>10</v>
      </c>
      <c r="L8" s="843">
        <v>2552.2681274414058</v>
      </c>
      <c r="M8" s="844">
        <v>3.4342428922536783</v>
      </c>
      <c r="N8" s="844">
        <v>9.7823403851216213</v>
      </c>
      <c r="O8" s="844">
        <v>0.60510431462898839</v>
      </c>
      <c r="P8" s="844">
        <v>0.5566942982841282</v>
      </c>
      <c r="Q8" s="844">
        <v>2.1792959421873068E-2</v>
      </c>
      <c r="R8" s="844">
        <v>1.0803002736065517</v>
      </c>
    </row>
    <row r="9" spans="1:18" x14ac:dyDescent="0.3">
      <c r="A9" s="637">
        <v>15</v>
      </c>
      <c r="B9" s="843">
        <v>496.11000823974553</v>
      </c>
      <c r="C9" s="844">
        <v>3.5726442994200562</v>
      </c>
      <c r="D9" s="844">
        <v>0.33761850373593882</v>
      </c>
      <c r="E9" s="844">
        <v>8.5730456457895291E-3</v>
      </c>
      <c r="F9" s="844">
        <v>7.5838807538275346E-3</v>
      </c>
      <c r="G9" s="844">
        <v>9.8916634451597756E-3</v>
      </c>
      <c r="H9" s="844">
        <v>8.9370540430536383E-2</v>
      </c>
      <c r="K9" s="637">
        <v>15</v>
      </c>
      <c r="L9" s="843">
        <v>2163.0402984619113</v>
      </c>
      <c r="M9" s="844">
        <v>2.6594701406429491</v>
      </c>
      <c r="N9" s="844">
        <v>7.9875620960192304</v>
      </c>
      <c r="O9" s="844">
        <v>0.48951265378855163</v>
      </c>
      <c r="P9" s="844">
        <v>0.4503503141459077</v>
      </c>
      <c r="Q9" s="844">
        <v>1.8472759256837851E-2</v>
      </c>
      <c r="R9" s="844">
        <v>0.75896492690662842</v>
      </c>
    </row>
    <row r="10" spans="1:18" x14ac:dyDescent="0.3">
      <c r="A10" s="637">
        <v>20</v>
      </c>
      <c r="B10" s="843">
        <v>420.67931556701632</v>
      </c>
      <c r="C10" s="844">
        <v>3.1665157276875076</v>
      </c>
      <c r="D10" s="844">
        <v>0.31091949841174898</v>
      </c>
      <c r="E10" s="844">
        <v>7.2875380872119344E-3</v>
      </c>
      <c r="F10" s="844">
        <v>6.4466966668987819E-3</v>
      </c>
      <c r="G10" s="844">
        <v>8.3876952994614822E-3</v>
      </c>
      <c r="H10" s="844">
        <v>7.3407213050813852E-2</v>
      </c>
      <c r="K10" s="637">
        <v>20</v>
      </c>
      <c r="L10" s="843">
        <v>1881.4049987792946</v>
      </c>
      <c r="M10" s="844">
        <v>2.2380869519838562</v>
      </c>
      <c r="N10" s="844">
        <v>6.8578355765857824</v>
      </c>
      <c r="O10" s="844">
        <v>0.41889551258645941</v>
      </c>
      <c r="P10" s="844">
        <v>0.3853825480910017</v>
      </c>
      <c r="Q10" s="844">
        <v>1.6068746859673341E-2</v>
      </c>
      <c r="R10" s="844">
        <v>0.5923197266529312</v>
      </c>
    </row>
    <row r="11" spans="1:18" x14ac:dyDescent="0.3">
      <c r="A11" s="637">
        <v>25</v>
      </c>
      <c r="B11" s="843">
        <v>374.24449539184519</v>
      </c>
      <c r="C11" s="844">
        <v>2.7441106188925861</v>
      </c>
      <c r="D11" s="844">
        <v>0.30169887779209087</v>
      </c>
      <c r="E11" s="844">
        <v>6.3024336550370113E-3</v>
      </c>
      <c r="F11" s="844">
        <v>5.5752543330527234E-3</v>
      </c>
      <c r="G11" s="844">
        <v>7.4618574581108961E-3</v>
      </c>
      <c r="H11" s="844">
        <v>6.3700638427690082E-2</v>
      </c>
      <c r="K11" s="637">
        <v>25</v>
      </c>
      <c r="L11" s="843">
        <v>1721.8497161865209</v>
      </c>
      <c r="M11" s="844">
        <v>1.9868171259004115</v>
      </c>
      <c r="N11" s="844">
        <v>6.165884880396332</v>
      </c>
      <c r="O11" s="844">
        <v>0.37433411728125032</v>
      </c>
      <c r="P11" s="844">
        <v>0.34438616887200596</v>
      </c>
      <c r="Q11" s="844">
        <v>1.4706687477882893E-2</v>
      </c>
      <c r="R11" s="844">
        <v>0.49267456655798003</v>
      </c>
    </row>
    <row r="12" spans="1:18" x14ac:dyDescent="0.3">
      <c r="A12" s="637">
        <v>30</v>
      </c>
      <c r="B12" s="843">
        <v>340.96850204467734</v>
      </c>
      <c r="C12" s="844">
        <v>2.659237058018328</v>
      </c>
      <c r="D12" s="844">
        <v>0.28929000757068418</v>
      </c>
      <c r="E12" s="844">
        <v>6.4429532790199863E-3</v>
      </c>
      <c r="F12" s="844">
        <v>5.6995620025190839E-3</v>
      </c>
      <c r="G12" s="844">
        <v>6.7983800545334764E-3</v>
      </c>
      <c r="H12" s="844">
        <v>5.7911288353352526E-2</v>
      </c>
      <c r="K12" s="637">
        <v>30</v>
      </c>
      <c r="L12" s="843">
        <v>1667.2224884033167</v>
      </c>
      <c r="M12" s="844">
        <v>1.8073611800791638</v>
      </c>
      <c r="N12" s="844">
        <v>5.9038575941340223</v>
      </c>
      <c r="O12" s="844">
        <v>0.34771820402238512</v>
      </c>
      <c r="P12" s="844">
        <v>0.31989979010540959</v>
      </c>
      <c r="Q12" s="844">
        <v>1.4241002791095489E-2</v>
      </c>
      <c r="R12" s="844">
        <v>0.42705913993995614</v>
      </c>
    </row>
    <row r="13" spans="1:18" x14ac:dyDescent="0.3">
      <c r="A13" s="637">
        <v>35</v>
      </c>
      <c r="B13" s="843">
        <v>327.31924629211397</v>
      </c>
      <c r="C13" s="844">
        <v>2.6767693717265444</v>
      </c>
      <c r="D13" s="844">
        <v>0.29434058565357152</v>
      </c>
      <c r="E13" s="844">
        <v>7.2188808987902848E-3</v>
      </c>
      <c r="F13" s="844">
        <v>6.3859648066681872E-3</v>
      </c>
      <c r="G13" s="844">
        <v>6.5262456773780234E-3</v>
      </c>
      <c r="H13" s="844">
        <v>5.4891921539819997E-2</v>
      </c>
      <c r="K13" s="637">
        <v>35</v>
      </c>
      <c r="L13" s="843">
        <v>1429.135780334469</v>
      </c>
      <c r="M13" s="844">
        <v>1.6121815954538699</v>
      </c>
      <c r="N13" s="844">
        <v>5.1454451916906683</v>
      </c>
      <c r="O13" s="844">
        <v>0.28433050191961218</v>
      </c>
      <c r="P13" s="844">
        <v>0.2615831091534343</v>
      </c>
      <c r="Q13" s="844">
        <v>1.2207485036924448E-2</v>
      </c>
      <c r="R13" s="844">
        <v>0.38665446336381115</v>
      </c>
    </row>
    <row r="14" spans="1:18" x14ac:dyDescent="0.3">
      <c r="A14" s="637">
        <v>40</v>
      </c>
      <c r="B14" s="843">
        <v>318.19286918640114</v>
      </c>
      <c r="C14" s="844">
        <v>2.6718649121976275</v>
      </c>
      <c r="D14" s="844">
        <v>0.29957966164960192</v>
      </c>
      <c r="E14" s="844">
        <v>7.8383711788774079E-3</v>
      </c>
      <c r="F14" s="844">
        <v>6.9339702337174319E-3</v>
      </c>
      <c r="G14" s="844">
        <v>6.3442756072618024E-3</v>
      </c>
      <c r="H14" s="844">
        <v>5.2480055517662508E-2</v>
      </c>
      <c r="K14" s="637">
        <v>40</v>
      </c>
      <c r="L14" s="843">
        <v>1374.9903354644757</v>
      </c>
      <c r="M14" s="844">
        <v>1.5119741738599246</v>
      </c>
      <c r="N14" s="844">
        <v>4.9220411158294137</v>
      </c>
      <c r="O14" s="844">
        <v>0.26350373349850925</v>
      </c>
      <c r="P14" s="844">
        <v>0.24242239643353949</v>
      </c>
      <c r="Q14" s="844">
        <v>1.1746056625270253E-2</v>
      </c>
      <c r="R14" s="844">
        <v>0.35273628431605147</v>
      </c>
    </row>
    <row r="15" spans="1:18" x14ac:dyDescent="0.3">
      <c r="A15" s="637">
        <v>45</v>
      </c>
      <c r="B15" s="843">
        <v>310.76975059509215</v>
      </c>
      <c r="C15" s="844">
        <v>2.6595535080596111</v>
      </c>
      <c r="D15" s="844">
        <v>0.30343363795162703</v>
      </c>
      <c r="E15" s="844">
        <v>8.2133156868167065E-3</v>
      </c>
      <c r="F15" s="844">
        <v>7.2656532252040008E-3</v>
      </c>
      <c r="G15" s="844">
        <v>6.196266418555748E-3</v>
      </c>
      <c r="H15" s="844">
        <v>5.056276468530993E-2</v>
      </c>
      <c r="K15" s="637">
        <v>45</v>
      </c>
      <c r="L15" s="843">
        <v>1330.8534812927228</v>
      </c>
      <c r="M15" s="844">
        <v>1.432616792677432</v>
      </c>
      <c r="N15" s="844">
        <v>4.743274749554983</v>
      </c>
      <c r="O15" s="844">
        <v>0.24709462822647754</v>
      </c>
      <c r="P15" s="844">
        <v>0.22732615133281778</v>
      </c>
      <c r="Q15" s="844">
        <v>1.1369948639185147E-2</v>
      </c>
      <c r="R15" s="844">
        <v>0.32633528103178827</v>
      </c>
    </row>
    <row r="16" spans="1:18" x14ac:dyDescent="0.3">
      <c r="A16" s="637">
        <v>50</v>
      </c>
      <c r="B16" s="843">
        <v>303.00238418579033</v>
      </c>
      <c r="C16" s="844">
        <v>2.60417470566244</v>
      </c>
      <c r="D16" s="844">
        <v>0.3052167076878044</v>
      </c>
      <c r="E16" s="844">
        <v>8.1766910047917866E-3</v>
      </c>
      <c r="F16" s="844">
        <v>7.2332472692551077E-3</v>
      </c>
      <c r="G16" s="844">
        <v>6.0414006002247281E-3</v>
      </c>
      <c r="H16" s="844">
        <v>4.8749415134807295E-2</v>
      </c>
      <c r="K16" s="637">
        <v>50</v>
      </c>
      <c r="L16" s="843">
        <v>1265.7697868347154</v>
      </c>
      <c r="M16" s="844">
        <v>1.3508997367025568</v>
      </c>
      <c r="N16" s="844">
        <v>4.5377199119247944</v>
      </c>
      <c r="O16" s="844">
        <v>0.22350395936518888</v>
      </c>
      <c r="P16" s="844">
        <v>0.20562306547071746</v>
      </c>
      <c r="Q16" s="844">
        <v>1.0814841254614271E-2</v>
      </c>
      <c r="R16" s="844">
        <v>0.3043348678620531</v>
      </c>
    </row>
    <row r="17" spans="1:18" x14ac:dyDescent="0.3">
      <c r="A17" s="637">
        <v>55</v>
      </c>
      <c r="B17" s="843">
        <v>296.97025108337346</v>
      </c>
      <c r="C17" s="844">
        <v>2.5444136970181654</v>
      </c>
      <c r="D17" s="844">
        <v>0.3068078912595521</v>
      </c>
      <c r="E17" s="844">
        <v>7.7277814921217101E-3</v>
      </c>
      <c r="F17" s="844">
        <v>6.8361408915506997E-3</v>
      </c>
      <c r="G17" s="844">
        <v>5.9211249754298444E-3</v>
      </c>
      <c r="H17" s="844">
        <v>4.7043351114552892E-2</v>
      </c>
      <c r="K17" s="637">
        <v>55</v>
      </c>
      <c r="L17" s="843">
        <v>1202.5949821472145</v>
      </c>
      <c r="M17" s="844">
        <v>1.2787881381373123</v>
      </c>
      <c r="N17" s="844">
        <v>4.3546866177966859</v>
      </c>
      <c r="O17" s="844">
        <v>0.19851474137976743</v>
      </c>
      <c r="P17" s="844">
        <v>0.18263301748083871</v>
      </c>
      <c r="Q17" s="844">
        <v>1.02755958359921E-2</v>
      </c>
      <c r="R17" s="844">
        <v>0.28623624831379835</v>
      </c>
    </row>
    <row r="18" spans="1:18" x14ac:dyDescent="0.3">
      <c r="A18" s="637">
        <v>60</v>
      </c>
      <c r="B18" s="843">
        <v>292.99762344360335</v>
      </c>
      <c r="C18" s="844">
        <v>2.529680408661076</v>
      </c>
      <c r="D18" s="844">
        <v>0.31012458840723367</v>
      </c>
      <c r="E18" s="844">
        <v>7.4514453642677732E-3</v>
      </c>
      <c r="F18" s="844">
        <v>6.5916925731244087E-3</v>
      </c>
      <c r="G18" s="844">
        <v>5.8419187553226896E-3</v>
      </c>
      <c r="H18" s="844">
        <v>4.6014515868591788E-2</v>
      </c>
      <c r="K18" s="637">
        <v>60</v>
      </c>
      <c r="L18" s="843">
        <v>1173.6470508575417</v>
      </c>
      <c r="M18" s="844">
        <v>1.2100891073059725</v>
      </c>
      <c r="N18" s="844">
        <v>4.2673716320477961</v>
      </c>
      <c r="O18" s="844">
        <v>0.18201106705237127</v>
      </c>
      <c r="P18" s="844">
        <v>0.16744978632777882</v>
      </c>
      <c r="Q18" s="844">
        <v>1.00279727776069E-2</v>
      </c>
      <c r="R18" s="844">
        <v>0.26763060508528708</v>
      </c>
    </row>
    <row r="19" spans="1:18" x14ac:dyDescent="0.3">
      <c r="A19" s="637">
        <v>65</v>
      </c>
      <c r="B19" s="843">
        <v>294.73712158203114</v>
      </c>
      <c r="C19" s="844">
        <v>2.5809845437579448</v>
      </c>
      <c r="D19" s="844">
        <v>0.32282334996148115</v>
      </c>
      <c r="E19" s="844">
        <v>7.4030078603754962E-3</v>
      </c>
      <c r="F19" s="844">
        <v>6.5488380280385077E-3</v>
      </c>
      <c r="G19" s="844">
        <v>5.8766024594660805E-3</v>
      </c>
      <c r="H19" s="844">
        <v>4.6818616759992396E-2</v>
      </c>
      <c r="K19" s="637">
        <v>65</v>
      </c>
      <c r="L19" s="843">
        <v>1234.4135990142802</v>
      </c>
      <c r="M19" s="844">
        <v>1.1581587161781466</v>
      </c>
      <c r="N19" s="844">
        <v>4.486048630824369</v>
      </c>
      <c r="O19" s="844">
        <v>0.1797732612467369</v>
      </c>
      <c r="P19" s="844">
        <v>0.16539111104793799</v>
      </c>
      <c r="Q19" s="844">
        <v>1.0548539386945754E-2</v>
      </c>
      <c r="R19" s="844">
        <v>0.24990657012676792</v>
      </c>
    </row>
    <row r="20" spans="1:18" x14ac:dyDescent="0.3">
      <c r="A20" s="637">
        <v>70</v>
      </c>
      <c r="B20" s="843">
        <v>303.58999252319302</v>
      </c>
      <c r="C20" s="844">
        <v>2.8673539594019477</v>
      </c>
      <c r="D20" s="844">
        <v>0.35102503728569417</v>
      </c>
      <c r="E20" s="844">
        <v>7.6512221119173609E-3</v>
      </c>
      <c r="F20" s="844">
        <v>6.7684200791973056E-3</v>
      </c>
      <c r="G20" s="844">
        <v>6.0531126218847887E-3</v>
      </c>
      <c r="H20" s="844">
        <v>5.1280369647429276E-2</v>
      </c>
      <c r="K20" s="637">
        <v>70</v>
      </c>
      <c r="L20" s="843">
        <v>1288.8689155578604</v>
      </c>
      <c r="M20" s="844">
        <v>1.113556930664342</v>
      </c>
      <c r="N20" s="844">
        <v>4.6817011972889286</v>
      </c>
      <c r="O20" s="844">
        <v>0.17768307391088439</v>
      </c>
      <c r="P20" s="844">
        <v>0.16346802597399748</v>
      </c>
      <c r="Q20" s="844">
        <v>1.1014909308869373E-2</v>
      </c>
      <c r="R20" s="844">
        <v>0.23465167384711055</v>
      </c>
    </row>
    <row r="21" spans="1:18" x14ac:dyDescent="0.3">
      <c r="A21" s="637">
        <v>75</v>
      </c>
      <c r="B21" s="843">
        <v>318.61024856567309</v>
      </c>
      <c r="C21" s="844">
        <v>3.6026154714199921</v>
      </c>
      <c r="D21" s="844">
        <v>0.38968208436369828</v>
      </c>
      <c r="E21" s="844">
        <v>8.5689064499092395E-3</v>
      </c>
      <c r="F21" s="844">
        <v>7.5802198339260732E-3</v>
      </c>
      <c r="G21" s="844">
        <v>6.3525949954055198E-3</v>
      </c>
      <c r="H21" s="844">
        <v>5.9103260926349273E-2</v>
      </c>
      <c r="K21" s="637">
        <v>75</v>
      </c>
      <c r="L21" s="843">
        <v>1369.0885486602779</v>
      </c>
      <c r="M21" s="844">
        <v>1.0801402286087958</v>
      </c>
      <c r="N21" s="844">
        <v>4.9423710240189385</v>
      </c>
      <c r="O21" s="844">
        <v>0.17947086249478134</v>
      </c>
      <c r="P21" s="844">
        <v>0.16511263762367845</v>
      </c>
      <c r="Q21" s="844">
        <v>1.1701093506417218E-2</v>
      </c>
      <c r="R21" s="844">
        <v>0.22281360944907591</v>
      </c>
    </row>
    <row r="23" spans="1:18" x14ac:dyDescent="0.3">
      <c r="A23" s="637" t="s">
        <v>784</v>
      </c>
      <c r="B23" s="841">
        <v>2025</v>
      </c>
      <c r="K23" s="637" t="s">
        <v>784</v>
      </c>
      <c r="L23" s="841">
        <v>2025</v>
      </c>
    </row>
    <row r="24" spans="1:18" x14ac:dyDescent="0.3">
      <c r="A24" s="637" t="s">
        <v>785</v>
      </c>
      <c r="B24" s="841" t="s">
        <v>786</v>
      </c>
      <c r="K24" s="637" t="s">
        <v>785</v>
      </c>
      <c r="L24" s="841" t="s">
        <v>198</v>
      </c>
    </row>
    <row r="25" spans="1:18" x14ac:dyDescent="0.3">
      <c r="A25" s="637" t="s">
        <v>787</v>
      </c>
      <c r="B25" s="841" t="s">
        <v>788</v>
      </c>
      <c r="K25" s="637" t="s">
        <v>787</v>
      </c>
      <c r="L25" s="841" t="s">
        <v>789</v>
      </c>
    </row>
    <row r="27" spans="1:18" x14ac:dyDescent="0.3">
      <c r="A27" s="637" t="s">
        <v>790</v>
      </c>
      <c r="B27" s="842" t="s">
        <v>537</v>
      </c>
      <c r="C27" s="842" t="s">
        <v>536</v>
      </c>
      <c r="D27" s="842" t="s">
        <v>538</v>
      </c>
      <c r="E27" s="842" t="s">
        <v>539</v>
      </c>
      <c r="F27" s="842" t="s">
        <v>540</v>
      </c>
      <c r="G27" s="842" t="s">
        <v>542</v>
      </c>
      <c r="H27" s="842" t="s">
        <v>541</v>
      </c>
      <c r="K27" s="637" t="s">
        <v>790</v>
      </c>
      <c r="L27" s="842" t="s">
        <v>537</v>
      </c>
      <c r="M27" s="842" t="s">
        <v>536</v>
      </c>
      <c r="N27" s="842" t="s">
        <v>538</v>
      </c>
      <c r="O27" s="842" t="s">
        <v>539</v>
      </c>
      <c r="P27" s="842" t="s">
        <v>540</v>
      </c>
      <c r="Q27" s="842" t="s">
        <v>542</v>
      </c>
      <c r="R27" s="842" t="s">
        <v>541</v>
      </c>
    </row>
    <row r="28" spans="1:18" x14ac:dyDescent="0.3">
      <c r="A28" s="637">
        <v>2.5</v>
      </c>
      <c r="B28" s="843">
        <v>1426.8024902343725</v>
      </c>
      <c r="C28" s="844">
        <v>4.9358866208640348</v>
      </c>
      <c r="D28" s="844">
        <v>6.7196806860209735E-2</v>
      </c>
      <c r="E28" s="844">
        <v>1.5097761001015843E-2</v>
      </c>
      <c r="F28" s="844">
        <v>1.3355779398807457E-2</v>
      </c>
      <c r="G28" s="844">
        <v>9.5034635160118185E-3</v>
      </c>
      <c r="H28" s="844">
        <v>3.0490139120956838E-2</v>
      </c>
      <c r="K28" s="637">
        <v>2.5</v>
      </c>
      <c r="L28" s="843">
        <v>7574.5271453857422</v>
      </c>
      <c r="M28" s="844">
        <v>3.9576059141545521</v>
      </c>
      <c r="N28" s="844">
        <v>11.69432844134278</v>
      </c>
      <c r="O28" s="844">
        <v>0.48886355711147167</v>
      </c>
      <c r="P28" s="844">
        <v>0.44975309260189505</v>
      </c>
      <c r="Q28" s="844">
        <v>6.3445946201682077E-2</v>
      </c>
      <c r="R28" s="844">
        <v>1.0729339040117314</v>
      </c>
    </row>
    <row r="29" spans="1:18" x14ac:dyDescent="0.3">
      <c r="A29" s="637">
        <v>5</v>
      </c>
      <c r="B29" s="843">
        <v>791.76324462890602</v>
      </c>
      <c r="C29" s="844">
        <v>3.1099575831030912</v>
      </c>
      <c r="D29" s="844">
        <v>5.8056709512243211E-2</v>
      </c>
      <c r="E29" s="844">
        <v>8.7952385006246896E-3</v>
      </c>
      <c r="F29" s="844">
        <v>7.7804362524602723E-3</v>
      </c>
      <c r="G29" s="844">
        <v>5.2736687939614014E-3</v>
      </c>
      <c r="H29" s="844">
        <v>1.9853160027196247E-2</v>
      </c>
      <c r="K29" s="637">
        <v>5</v>
      </c>
      <c r="L29" s="843">
        <v>3982.6965408325186</v>
      </c>
      <c r="M29" s="844">
        <v>2.1804507397609978</v>
      </c>
      <c r="N29" s="844">
        <v>5.9786522406375271</v>
      </c>
      <c r="O29" s="844">
        <v>0.25075450428994328</v>
      </c>
      <c r="P29" s="844">
        <v>0.23069334466708766</v>
      </c>
      <c r="Q29" s="844">
        <v>3.3362800022587166E-2</v>
      </c>
      <c r="R29" s="844">
        <v>0.59361751834512677</v>
      </c>
    </row>
    <row r="30" spans="1:18" x14ac:dyDescent="0.3">
      <c r="A30" s="637">
        <v>10</v>
      </c>
      <c r="B30" s="843">
        <v>474.86943435668906</v>
      </c>
      <c r="C30" s="844">
        <v>2.1878120688997984</v>
      </c>
      <c r="D30" s="844">
        <v>5.166729167500244E-2</v>
      </c>
      <c r="E30" s="844">
        <v>5.5100178090015045E-3</v>
      </c>
      <c r="F30" s="844">
        <v>4.8742671938271035E-3</v>
      </c>
      <c r="G30" s="844">
        <v>3.1629462318960556E-3</v>
      </c>
      <c r="H30" s="844">
        <v>1.4181126972289296E-2</v>
      </c>
      <c r="K30" s="637">
        <v>10</v>
      </c>
      <c r="L30" s="843">
        <v>2413.7518692016592</v>
      </c>
      <c r="M30" s="844">
        <v>1.2238518171543527</v>
      </c>
      <c r="N30" s="844">
        <v>3.5322725140667868</v>
      </c>
      <c r="O30" s="844">
        <v>0.14576286554802184</v>
      </c>
      <c r="P30" s="844">
        <v>0.13410142858629087</v>
      </c>
      <c r="Q30" s="844">
        <v>2.022181887878103E-2</v>
      </c>
      <c r="R30" s="844">
        <v>0.3137703688844336</v>
      </c>
    </row>
    <row r="31" spans="1:18" x14ac:dyDescent="0.3">
      <c r="A31" s="637">
        <v>15</v>
      </c>
      <c r="B31" s="843">
        <v>373.44874954223576</v>
      </c>
      <c r="C31" s="844">
        <v>1.8986480234707368</v>
      </c>
      <c r="D31" s="844">
        <v>4.6244687273784238E-2</v>
      </c>
      <c r="E31" s="844">
        <v>4.1507771795750116E-3</v>
      </c>
      <c r="F31" s="844">
        <v>3.6718560620556634E-3</v>
      </c>
      <c r="G31" s="844">
        <v>2.4874187365639911E-3</v>
      </c>
      <c r="H31" s="844">
        <v>1.1645287107967271E-2</v>
      </c>
      <c r="K31" s="637">
        <v>15</v>
      </c>
      <c r="L31" s="843">
        <v>2042.7281379699684</v>
      </c>
      <c r="M31" s="844">
        <v>0.94079744009650212</v>
      </c>
      <c r="N31" s="844">
        <v>2.8667549789679438</v>
      </c>
      <c r="O31" s="844">
        <v>0.12025003269081919</v>
      </c>
      <c r="P31" s="844">
        <v>0.11062963231233856</v>
      </c>
      <c r="Q31" s="844">
        <v>1.7115278315031852E-2</v>
      </c>
      <c r="R31" s="844">
        <v>0.21768335272281514</v>
      </c>
    </row>
    <row r="32" spans="1:18" x14ac:dyDescent="0.3">
      <c r="A32" s="637">
        <v>20</v>
      </c>
      <c r="B32" s="843">
        <v>316.77613067626919</v>
      </c>
      <c r="C32" s="844">
        <v>1.7183793248841495</v>
      </c>
      <c r="D32" s="844">
        <v>4.3927156906391887E-2</v>
      </c>
      <c r="E32" s="844">
        <v>3.5048827855916854E-3</v>
      </c>
      <c r="F32" s="844">
        <v>3.1004850816316273E-3</v>
      </c>
      <c r="G32" s="844">
        <v>2.109939960064363E-3</v>
      </c>
      <c r="H32" s="844">
        <v>1.0240226307359964E-2</v>
      </c>
      <c r="K32" s="637">
        <v>20</v>
      </c>
      <c r="L32" s="843">
        <v>1772.4659156799296</v>
      </c>
      <c r="M32" s="844">
        <v>0.79871162501512882</v>
      </c>
      <c r="N32" s="844">
        <v>2.4329968738343219</v>
      </c>
      <c r="O32" s="844">
        <v>0.10436318250140146</v>
      </c>
      <c r="P32" s="844">
        <v>9.6013794071040839E-2</v>
      </c>
      <c r="Q32" s="844">
        <v>1.4851540705421901E-2</v>
      </c>
      <c r="R32" s="844">
        <v>0.1680412684036125</v>
      </c>
    </row>
    <row r="33" spans="1:18" x14ac:dyDescent="0.3">
      <c r="A33" s="637">
        <v>25</v>
      </c>
      <c r="B33" s="843">
        <v>281.78699493408141</v>
      </c>
      <c r="C33" s="844">
        <v>1.4785765766755468</v>
      </c>
      <c r="D33" s="844">
        <v>4.343336249959856E-2</v>
      </c>
      <c r="E33" s="844">
        <v>3.1050539230363891E-3</v>
      </c>
      <c r="F33" s="844">
        <v>2.7467924439861166E-3</v>
      </c>
      <c r="G33" s="844">
        <v>1.8768862792057886E-3</v>
      </c>
      <c r="H33" s="844">
        <v>9.2277265298434767E-3</v>
      </c>
      <c r="K33" s="637">
        <v>25</v>
      </c>
      <c r="L33" s="843">
        <v>1623.0678291320751</v>
      </c>
      <c r="M33" s="844">
        <v>0.71159261350840086</v>
      </c>
      <c r="N33" s="844">
        <v>2.1704540576256446</v>
      </c>
      <c r="O33" s="844">
        <v>9.4149362063035258E-2</v>
      </c>
      <c r="P33" s="844">
        <v>8.6617118955473207E-2</v>
      </c>
      <c r="Q33" s="844">
        <v>1.360012011718933E-2</v>
      </c>
      <c r="R33" s="844">
        <v>0.1395079966459882</v>
      </c>
    </row>
    <row r="34" spans="1:18" x14ac:dyDescent="0.3">
      <c r="A34" s="637">
        <v>30</v>
      </c>
      <c r="B34" s="843">
        <v>256.74162483215298</v>
      </c>
      <c r="C34" s="844">
        <v>1.4706756158338932</v>
      </c>
      <c r="D34" s="844">
        <v>4.4217199591244538E-2</v>
      </c>
      <c r="E34" s="844">
        <v>3.0542172891045963E-3</v>
      </c>
      <c r="F34" s="844">
        <v>2.7018167565984134E-3</v>
      </c>
      <c r="G34" s="844">
        <v>1.7100674886023589E-3</v>
      </c>
      <c r="H34" s="844">
        <v>9.1078184650541395E-3</v>
      </c>
      <c r="K34" s="637">
        <v>30</v>
      </c>
      <c r="L34" s="843">
        <v>1570.6246757507283</v>
      </c>
      <c r="M34" s="844">
        <v>0.64454743443275198</v>
      </c>
      <c r="N34" s="844">
        <v>2.062729172122086</v>
      </c>
      <c r="O34" s="844">
        <v>8.8139691913965854E-2</v>
      </c>
      <c r="P34" s="844">
        <v>8.1088152641314026E-2</v>
      </c>
      <c r="Q34" s="844">
        <v>1.3161163922632082E-2</v>
      </c>
      <c r="R34" s="844">
        <v>0.11994903892991671</v>
      </c>
    </row>
    <row r="35" spans="1:18" x14ac:dyDescent="0.3">
      <c r="A35" s="637">
        <v>35</v>
      </c>
      <c r="B35" s="843">
        <v>246.6139984130854</v>
      </c>
      <c r="C35" s="844">
        <v>1.5217677797518214</v>
      </c>
      <c r="D35" s="844">
        <v>4.8383953740611156E-2</v>
      </c>
      <c r="E35" s="844">
        <v>3.1993630410624917E-3</v>
      </c>
      <c r="F35" s="844">
        <v>2.8302176616534732E-3</v>
      </c>
      <c r="G35" s="844">
        <v>1.6426124930148879E-3</v>
      </c>
      <c r="H35" s="844">
        <v>9.4720129227425683E-3</v>
      </c>
      <c r="K35" s="637">
        <v>35</v>
      </c>
      <c r="L35" s="843">
        <v>1340.8520011901833</v>
      </c>
      <c r="M35" s="844">
        <v>0.58242573857569324</v>
      </c>
      <c r="N35" s="844">
        <v>1.795193273679156</v>
      </c>
      <c r="O35" s="844">
        <v>7.1275239286478539E-2</v>
      </c>
      <c r="P35" s="844">
        <v>6.5572999752475741E-2</v>
      </c>
      <c r="Q35" s="844">
        <v>1.1235920334001977E-2</v>
      </c>
      <c r="R35" s="844">
        <v>0.1087751613049473</v>
      </c>
    </row>
    <row r="36" spans="1:18" x14ac:dyDescent="0.3">
      <c r="A36" s="637">
        <v>40</v>
      </c>
      <c r="B36" s="843">
        <v>239.86818981170597</v>
      </c>
      <c r="C36" s="844">
        <v>1.5465950656289316</v>
      </c>
      <c r="D36" s="844">
        <v>5.1624790000012383E-2</v>
      </c>
      <c r="E36" s="844">
        <v>3.3279970571129477E-3</v>
      </c>
      <c r="F36" s="844">
        <v>2.9440082917062652E-3</v>
      </c>
      <c r="G36" s="844">
        <v>1.5976812574081093E-3</v>
      </c>
      <c r="H36" s="844">
        <v>9.6673332454883989E-3</v>
      </c>
      <c r="K36" s="637">
        <v>40</v>
      </c>
      <c r="L36" s="843">
        <v>1286.4928112030009</v>
      </c>
      <c r="M36" s="844">
        <v>0.54694048412420659</v>
      </c>
      <c r="N36" s="844">
        <v>1.7074501148463197</v>
      </c>
      <c r="O36" s="844">
        <v>6.6199341614264939E-2</v>
      </c>
      <c r="P36" s="844">
        <v>6.0903195932041611E-2</v>
      </c>
      <c r="Q36" s="844">
        <v>1.0781053555547223E-2</v>
      </c>
      <c r="R36" s="844">
        <v>9.8383700798876678E-2</v>
      </c>
    </row>
    <row r="37" spans="1:18" x14ac:dyDescent="0.3">
      <c r="A37" s="637">
        <v>45</v>
      </c>
      <c r="B37" s="843">
        <v>234.37337493896433</v>
      </c>
      <c r="C37" s="844">
        <v>1.5597942834428944</v>
      </c>
      <c r="D37" s="844">
        <v>5.4053837202737001E-2</v>
      </c>
      <c r="E37" s="844">
        <v>3.3853705398314499E-3</v>
      </c>
      <c r="F37" s="844">
        <v>2.9947635619009772E-3</v>
      </c>
      <c r="G37" s="844">
        <v>1.5610843765898547E-3</v>
      </c>
      <c r="H37" s="844">
        <v>9.8039006875296555E-3</v>
      </c>
      <c r="K37" s="637">
        <v>45</v>
      </c>
      <c r="L37" s="843">
        <v>1242.3301887512191</v>
      </c>
      <c r="M37" s="844">
        <v>0.51883899308450032</v>
      </c>
      <c r="N37" s="844">
        <v>1.6381071425801077</v>
      </c>
      <c r="O37" s="844">
        <v>6.2196554383262895E-2</v>
      </c>
      <c r="P37" s="844">
        <v>5.722065600275511E-2</v>
      </c>
      <c r="Q37" s="844">
        <v>1.0411496812594099E-2</v>
      </c>
      <c r="R37" s="844">
        <v>9.0307260765257427E-2</v>
      </c>
    </row>
    <row r="38" spans="1:18" x14ac:dyDescent="0.3">
      <c r="A38" s="637">
        <v>50</v>
      </c>
      <c r="B38" s="843">
        <v>228.57150077819765</v>
      </c>
      <c r="C38" s="844">
        <v>1.5377766090241471</v>
      </c>
      <c r="D38" s="844">
        <v>5.5678902002874439E-2</v>
      </c>
      <c r="E38" s="844">
        <v>3.3469512380861445E-3</v>
      </c>
      <c r="F38" s="844">
        <v>2.9607769710082673E-3</v>
      </c>
      <c r="G38" s="844">
        <v>1.522438753454474E-3</v>
      </c>
      <c r="H38" s="844">
        <v>9.8204402597729928E-3</v>
      </c>
      <c r="K38" s="637">
        <v>50</v>
      </c>
      <c r="L38" s="843">
        <v>1176.9199962615949</v>
      </c>
      <c r="M38" s="844">
        <v>0.49145933604449948</v>
      </c>
      <c r="N38" s="844">
        <v>1.561602128928141</v>
      </c>
      <c r="O38" s="844">
        <v>5.6157960789278108E-2</v>
      </c>
      <c r="P38" s="844">
        <v>5.1665161765413345E-2</v>
      </c>
      <c r="Q38" s="844">
        <v>9.8639031057245734E-3</v>
      </c>
      <c r="R38" s="844">
        <v>8.3639855381988815E-2</v>
      </c>
    </row>
    <row r="39" spans="1:18" x14ac:dyDescent="0.3">
      <c r="A39" s="637">
        <v>55</v>
      </c>
      <c r="B39" s="843">
        <v>224.07055950164764</v>
      </c>
      <c r="C39" s="844">
        <v>1.5014218346877872</v>
      </c>
      <c r="D39" s="844">
        <v>5.6953253013517655E-2</v>
      </c>
      <c r="E39" s="844">
        <v>3.2159918323486575E-3</v>
      </c>
      <c r="F39" s="844">
        <v>2.8449269492511987E-3</v>
      </c>
      <c r="G39" s="844">
        <v>1.4924574861652168E-3</v>
      </c>
      <c r="H39" s="844">
        <v>9.6959073352990838E-3</v>
      </c>
      <c r="K39" s="637">
        <v>55</v>
      </c>
      <c r="L39" s="843">
        <v>1115.3639411926245</v>
      </c>
      <c r="M39" s="844">
        <v>0.46777875404950436</v>
      </c>
      <c r="N39" s="844">
        <v>1.4946627218882873</v>
      </c>
      <c r="O39" s="844">
        <v>4.9669533269479836E-2</v>
      </c>
      <c r="P39" s="844">
        <v>4.5695822904235663E-2</v>
      </c>
      <c r="Q39" s="844">
        <v>9.348309060442225E-3</v>
      </c>
      <c r="R39" s="844">
        <v>7.8143617021851117E-2</v>
      </c>
    </row>
    <row r="40" spans="1:18" x14ac:dyDescent="0.3">
      <c r="A40" s="637">
        <v>60</v>
      </c>
      <c r="B40" s="843">
        <v>221.11931419372522</v>
      </c>
      <c r="C40" s="844">
        <v>1.4965628143836462</v>
      </c>
      <c r="D40" s="844">
        <v>5.8757631125047213E-2</v>
      </c>
      <c r="E40" s="844">
        <v>3.119288128459624E-3</v>
      </c>
      <c r="F40" s="844">
        <v>2.7593823775759986E-3</v>
      </c>
      <c r="G40" s="844">
        <v>1.4728043679497159E-3</v>
      </c>
      <c r="H40" s="844">
        <v>9.747097987656151E-3</v>
      </c>
      <c r="K40" s="637">
        <v>60</v>
      </c>
      <c r="L40" s="843">
        <v>1097.5997829437242</v>
      </c>
      <c r="M40" s="844">
        <v>0.44140774425613921</v>
      </c>
      <c r="N40" s="844">
        <v>1.4693374891239701</v>
      </c>
      <c r="O40" s="844">
        <v>4.5727405668003443E-2</v>
      </c>
      <c r="P40" s="844">
        <v>4.2069071365403915E-2</v>
      </c>
      <c r="Q40" s="844">
        <v>9.199122781865271E-3</v>
      </c>
      <c r="R40" s="844">
        <v>7.2635905788047225E-2</v>
      </c>
    </row>
    <row r="41" spans="1:18" x14ac:dyDescent="0.3">
      <c r="A41" s="637">
        <v>65</v>
      </c>
      <c r="B41" s="843">
        <v>222.48787498474081</v>
      </c>
      <c r="C41" s="844">
        <v>1.5344481201536788</v>
      </c>
      <c r="D41" s="844">
        <v>6.4044418350675814E-2</v>
      </c>
      <c r="E41" s="844">
        <v>3.1506413374700008E-3</v>
      </c>
      <c r="F41" s="844">
        <v>2.7871168874753463E-3</v>
      </c>
      <c r="G41" s="844">
        <v>1.4819168864050837E-3</v>
      </c>
      <c r="H41" s="844">
        <v>1.0458392197506316E-2</v>
      </c>
      <c r="K41" s="637">
        <v>65</v>
      </c>
      <c r="L41" s="843">
        <v>1148.213594436643</v>
      </c>
      <c r="M41" s="844">
        <v>0.41697261294757459</v>
      </c>
      <c r="N41" s="844">
        <v>1.5253110911112322</v>
      </c>
      <c r="O41" s="844">
        <v>4.5428646364598514E-2</v>
      </c>
      <c r="P41" s="844">
        <v>4.1794222532189423E-2</v>
      </c>
      <c r="Q41" s="844">
        <v>9.6241087740054163E-3</v>
      </c>
      <c r="R41" s="844">
        <v>6.744880863698198E-2</v>
      </c>
    </row>
    <row r="42" spans="1:18" x14ac:dyDescent="0.3">
      <c r="A42" s="637">
        <v>70</v>
      </c>
      <c r="B42" s="843">
        <v>229.20687675476043</v>
      </c>
      <c r="C42" s="844">
        <v>1.7336973202363852</v>
      </c>
      <c r="D42" s="844">
        <v>7.5389027879936038E-2</v>
      </c>
      <c r="E42" s="844">
        <v>3.3250990978785874E-3</v>
      </c>
      <c r="F42" s="844">
        <v>2.9414473124234003E-3</v>
      </c>
      <c r="G42" s="844">
        <v>1.5266712725860952E-3</v>
      </c>
      <c r="H42" s="844">
        <v>1.24888296859353E-2</v>
      </c>
      <c r="K42" s="637">
        <v>70</v>
      </c>
      <c r="L42" s="843">
        <v>1193.7628154754632</v>
      </c>
      <c r="M42" s="844">
        <v>0.39598806048161328</v>
      </c>
      <c r="N42" s="844">
        <v>1.5753424298306953</v>
      </c>
      <c r="O42" s="844">
        <v>4.5118951777112649E-2</v>
      </c>
      <c r="P42" s="844">
        <v>4.1509294220304555E-2</v>
      </c>
      <c r="Q42" s="844">
        <v>1.0006499054725252E-2</v>
      </c>
      <c r="R42" s="844">
        <v>6.2981076569485581E-2</v>
      </c>
    </row>
    <row r="43" spans="1:18" x14ac:dyDescent="0.3">
      <c r="A43" s="637">
        <v>75</v>
      </c>
      <c r="B43" s="843">
        <v>240.58437538146902</v>
      </c>
      <c r="C43" s="844">
        <v>2.2082895597159187</v>
      </c>
      <c r="D43" s="844">
        <v>9.1420931127856736E-2</v>
      </c>
      <c r="E43" s="844">
        <v>3.8009979010666895E-3</v>
      </c>
      <c r="F43" s="844">
        <v>3.3624347991008064E-3</v>
      </c>
      <c r="G43" s="844">
        <v>1.6024512442527263E-3</v>
      </c>
      <c r="H43" s="844">
        <v>1.5570288177514107E-2</v>
      </c>
      <c r="K43" s="637">
        <v>75</v>
      </c>
      <c r="L43" s="843">
        <v>1264.9208812713614</v>
      </c>
      <c r="M43" s="844">
        <v>0.37861424628499646</v>
      </c>
      <c r="N43" s="844">
        <v>1.6485242474998341</v>
      </c>
      <c r="O43" s="844">
        <v>4.5757641986710909E-2</v>
      </c>
      <c r="P43" s="844">
        <v>4.2096869467059123E-2</v>
      </c>
      <c r="Q43" s="844">
        <v>1.0603314949548781E-2</v>
      </c>
      <c r="R43" s="844">
        <v>5.9397609745246875E-2</v>
      </c>
    </row>
    <row r="44" spans="1:18" x14ac:dyDescent="0.3">
      <c r="B44" s="841"/>
      <c r="C44" s="841"/>
      <c r="D44" s="841"/>
      <c r="E44" s="841"/>
      <c r="F44" s="841"/>
      <c r="G44" s="841"/>
      <c r="H44" s="841"/>
    </row>
    <row r="45" spans="1:18" x14ac:dyDescent="0.3">
      <c r="A45" s="637" t="s">
        <v>784</v>
      </c>
      <c r="B45" s="841">
        <v>2035</v>
      </c>
      <c r="K45" s="637" t="s">
        <v>784</v>
      </c>
      <c r="L45" s="841">
        <v>2035</v>
      </c>
    </row>
    <row r="46" spans="1:18" x14ac:dyDescent="0.3">
      <c r="A46" s="637" t="s">
        <v>785</v>
      </c>
      <c r="B46" s="841" t="s">
        <v>786</v>
      </c>
      <c r="K46" s="637" t="s">
        <v>785</v>
      </c>
      <c r="L46" s="841" t="s">
        <v>198</v>
      </c>
    </row>
    <row r="47" spans="1:18" x14ac:dyDescent="0.3">
      <c r="A47" s="637" t="s">
        <v>787</v>
      </c>
      <c r="B47" s="841" t="s">
        <v>788</v>
      </c>
      <c r="K47" s="637" t="s">
        <v>787</v>
      </c>
      <c r="L47" s="841" t="s">
        <v>789</v>
      </c>
    </row>
    <row r="49" spans="1:18" x14ac:dyDescent="0.3">
      <c r="A49" s="637" t="s">
        <v>790</v>
      </c>
      <c r="B49" s="842" t="s">
        <v>537</v>
      </c>
      <c r="C49" s="842" t="s">
        <v>536</v>
      </c>
      <c r="D49" s="842" t="s">
        <v>538</v>
      </c>
      <c r="E49" s="842" t="s">
        <v>539</v>
      </c>
      <c r="F49" s="842" t="s">
        <v>540</v>
      </c>
      <c r="G49" s="842" t="s">
        <v>542</v>
      </c>
      <c r="H49" s="842" t="s">
        <v>541</v>
      </c>
      <c r="K49" s="637" t="s">
        <v>790</v>
      </c>
      <c r="L49" s="842" t="s">
        <v>537</v>
      </c>
      <c r="M49" s="842" t="s">
        <v>536</v>
      </c>
      <c r="N49" s="842" t="s">
        <v>538</v>
      </c>
      <c r="O49" s="842" t="s">
        <v>539</v>
      </c>
      <c r="P49" s="842" t="s">
        <v>540</v>
      </c>
      <c r="Q49" s="842" t="s">
        <v>542</v>
      </c>
      <c r="R49" s="842" t="s">
        <v>541</v>
      </c>
    </row>
    <row r="50" spans="1:18" x14ac:dyDescent="0.3">
      <c r="A50" s="637">
        <v>2.5</v>
      </c>
      <c r="B50" s="843">
        <v>1099.2037658691388</v>
      </c>
      <c r="C50" s="844">
        <v>2.1457451780151988</v>
      </c>
      <c r="D50" s="844">
        <v>1.092636767142704E-2</v>
      </c>
      <c r="E50" s="844">
        <v>9.8726488195097599E-3</v>
      </c>
      <c r="F50" s="844">
        <v>8.7335399543917395E-3</v>
      </c>
      <c r="G50" s="844">
        <v>7.3521775775589014E-3</v>
      </c>
      <c r="H50" s="844">
        <v>9.5595575230617846E-3</v>
      </c>
      <c r="K50" s="637">
        <v>2.5</v>
      </c>
      <c r="L50" s="843">
        <v>7438.2370452880859</v>
      </c>
      <c r="M50" s="844">
        <v>2.5371710282797704</v>
      </c>
      <c r="N50" s="844">
        <v>7.1047431328431099</v>
      </c>
      <c r="O50" s="844">
        <v>0.16295535024255481</v>
      </c>
      <c r="P50" s="844">
        <v>0.14991833281237579</v>
      </c>
      <c r="Q50" s="844">
        <v>6.2024319078773246E-2</v>
      </c>
      <c r="R50" s="844">
        <v>0.52554826908317398</v>
      </c>
    </row>
    <row r="51" spans="1:18" x14ac:dyDescent="0.3">
      <c r="A51" s="637">
        <v>5</v>
      </c>
      <c r="B51" s="843">
        <v>609.89624023437466</v>
      </c>
      <c r="C51" s="844">
        <v>1.4027090436575189</v>
      </c>
      <c r="D51" s="844">
        <v>1.4106339158448793E-2</v>
      </c>
      <c r="E51" s="844">
        <v>5.7125174873817706E-3</v>
      </c>
      <c r="F51" s="844">
        <v>5.0534000656625678E-3</v>
      </c>
      <c r="G51" s="844">
        <v>4.0793836815282668E-3</v>
      </c>
      <c r="H51" s="844">
        <v>6.9611051330866749E-3</v>
      </c>
      <c r="K51" s="637">
        <v>5</v>
      </c>
      <c r="L51" s="843">
        <v>3913.4674377441402</v>
      </c>
      <c r="M51" s="844">
        <v>1.3621530806180968</v>
      </c>
      <c r="N51" s="844">
        <v>3.6391018717507371</v>
      </c>
      <c r="O51" s="844">
        <v>8.4015102940611416E-2</v>
      </c>
      <c r="P51" s="844">
        <v>7.7293662820011322E-2</v>
      </c>
      <c r="Q51" s="844">
        <v>3.263293788768349E-2</v>
      </c>
      <c r="R51" s="844">
        <v>0.29215651609570131</v>
      </c>
    </row>
    <row r="52" spans="1:18" x14ac:dyDescent="0.3">
      <c r="A52" s="637">
        <v>10</v>
      </c>
      <c r="B52" s="843">
        <v>365.72886657714793</v>
      </c>
      <c r="C52" s="844">
        <v>1.0213895180786461</v>
      </c>
      <c r="D52" s="844">
        <v>1.4668961523458481E-2</v>
      </c>
      <c r="E52" s="844">
        <v>3.5488706699879869E-3</v>
      </c>
      <c r="F52" s="844">
        <v>3.1393983439329484E-3</v>
      </c>
      <c r="G52" s="844">
        <v>2.4462300643790461E-3</v>
      </c>
      <c r="H52" s="844">
        <v>5.4834352004036156E-3</v>
      </c>
      <c r="K52" s="637">
        <v>10</v>
      </c>
      <c r="L52" s="843">
        <v>2369.4512786865216</v>
      </c>
      <c r="M52" s="844">
        <v>0.75005884384972876</v>
      </c>
      <c r="N52" s="844">
        <v>2.1495031060305192</v>
      </c>
      <c r="O52" s="844">
        <v>5.0195812946185428E-2</v>
      </c>
      <c r="P52" s="844">
        <v>4.6180012519471327E-2</v>
      </c>
      <c r="Q52" s="844">
        <v>1.9758078211452777E-2</v>
      </c>
      <c r="R52" s="844">
        <v>0.15357090597410636</v>
      </c>
    </row>
    <row r="53" spans="1:18" x14ac:dyDescent="0.3">
      <c r="A53" s="637">
        <v>15</v>
      </c>
      <c r="B53" s="843">
        <v>287.5907440185544</v>
      </c>
      <c r="C53" s="844">
        <v>0.89134050298889433</v>
      </c>
      <c r="D53" s="844">
        <v>1.2908578987417454E-2</v>
      </c>
      <c r="E53" s="844">
        <v>2.6621129150043964E-3</v>
      </c>
      <c r="F53" s="844">
        <v>2.3549563452434038E-3</v>
      </c>
      <c r="G53" s="844">
        <v>1.9235962390666763E-3</v>
      </c>
      <c r="H53" s="844">
        <v>4.6623341193026083E-3</v>
      </c>
      <c r="K53" s="637">
        <v>15</v>
      </c>
      <c r="L53" s="843">
        <v>2004.1284484863259</v>
      </c>
      <c r="M53" s="844">
        <v>0.57294900258449366</v>
      </c>
      <c r="N53" s="844">
        <v>1.7337117517198195</v>
      </c>
      <c r="O53" s="844">
        <v>4.244039551122112E-2</v>
      </c>
      <c r="P53" s="844">
        <v>3.9045010562404038E-2</v>
      </c>
      <c r="Q53" s="844">
        <v>1.6711865493562024E-2</v>
      </c>
      <c r="R53" s="844">
        <v>0.10569062238744174</v>
      </c>
    </row>
    <row r="54" spans="1:18" x14ac:dyDescent="0.3">
      <c r="A54" s="637">
        <v>20</v>
      </c>
      <c r="B54" s="843">
        <v>243.95074844360315</v>
      </c>
      <c r="C54" s="844">
        <v>0.81061642738859452</v>
      </c>
      <c r="D54" s="844">
        <v>1.298981644096917E-2</v>
      </c>
      <c r="E54" s="844">
        <v>2.2499234025872236E-3</v>
      </c>
      <c r="F54" s="844">
        <v>1.9903275079968777E-3</v>
      </c>
      <c r="G54" s="844">
        <v>1.6317012778017601E-3</v>
      </c>
      <c r="H54" s="844">
        <v>4.223059461764927E-3</v>
      </c>
      <c r="K54" s="637">
        <v>20</v>
      </c>
      <c r="L54" s="843">
        <v>1737.257183074948</v>
      </c>
      <c r="M54" s="844">
        <v>0.49065066512582678</v>
      </c>
      <c r="N54" s="844">
        <v>1.4571517687381674</v>
      </c>
      <c r="O54" s="844">
        <v>3.7363336421549299E-2</v>
      </c>
      <c r="P54" s="844">
        <v>3.4374140755971866E-2</v>
      </c>
      <c r="Q54" s="844">
        <v>1.4486559317447191E-2</v>
      </c>
      <c r="R54" s="844">
        <v>8.0981531062150225E-2</v>
      </c>
    </row>
    <row r="55" spans="1:18" x14ac:dyDescent="0.3">
      <c r="A55" s="637">
        <v>25</v>
      </c>
      <c r="B55" s="843">
        <v>217.00249671935973</v>
      </c>
      <c r="C55" s="844">
        <v>0.69066134418608183</v>
      </c>
      <c r="D55" s="844">
        <v>1.3026746079542949E-2</v>
      </c>
      <c r="E55" s="844">
        <v>2.0083568449535921E-3</v>
      </c>
      <c r="F55" s="844">
        <v>1.7766314967957396E-3</v>
      </c>
      <c r="G55" s="844">
        <v>1.4514512586174498E-3</v>
      </c>
      <c r="H55" s="844">
        <v>3.8593769195358583E-3</v>
      </c>
      <c r="K55" s="637">
        <v>25</v>
      </c>
      <c r="L55" s="843">
        <v>1591.3018836975068</v>
      </c>
      <c r="M55" s="844">
        <v>0.43753000877563847</v>
      </c>
      <c r="N55" s="844">
        <v>1.2921249932261796</v>
      </c>
      <c r="O55" s="844">
        <v>3.4106070175766917E-2</v>
      </c>
      <c r="P55" s="844">
        <v>3.13775059621548E-2</v>
      </c>
      <c r="Q55" s="844">
        <v>1.3269482617033621E-2</v>
      </c>
      <c r="R55" s="844">
        <v>6.6875182902492711E-2</v>
      </c>
    </row>
    <row r="56" spans="1:18" x14ac:dyDescent="0.3">
      <c r="A56" s="637">
        <v>30</v>
      </c>
      <c r="B56" s="843">
        <v>197.71462821960426</v>
      </c>
      <c r="C56" s="844">
        <v>0.71426911853268304</v>
      </c>
      <c r="D56" s="844">
        <v>1.5048464458040147E-2</v>
      </c>
      <c r="E56" s="844">
        <v>1.9672052483201649E-3</v>
      </c>
      <c r="F56" s="844">
        <v>1.7402276097300234E-3</v>
      </c>
      <c r="G56" s="844">
        <v>1.3224437570897823E-3</v>
      </c>
      <c r="H56" s="844">
        <v>3.929788665345762E-3</v>
      </c>
      <c r="K56" s="637">
        <v>30</v>
      </c>
      <c r="L56" s="843">
        <v>1539.3928031921366</v>
      </c>
      <c r="M56" s="844">
        <v>0.39470661750215169</v>
      </c>
      <c r="N56" s="844">
        <v>1.2174814878866129</v>
      </c>
      <c r="O56" s="844">
        <v>3.2399929594248505E-2</v>
      </c>
      <c r="P56" s="844">
        <v>2.980783232487735E-2</v>
      </c>
      <c r="Q56" s="844">
        <v>1.2836645997595009E-2</v>
      </c>
      <c r="R56" s="844">
        <v>5.6954747267809566E-2</v>
      </c>
    </row>
    <row r="57" spans="1:18" x14ac:dyDescent="0.3">
      <c r="A57" s="637">
        <v>35</v>
      </c>
      <c r="B57" s="843">
        <v>189.92337703704791</v>
      </c>
      <c r="C57" s="844">
        <v>0.77658492485352237</v>
      </c>
      <c r="D57" s="844">
        <v>1.8798227044815218E-2</v>
      </c>
      <c r="E57" s="844">
        <v>2.0444091986178093E-3</v>
      </c>
      <c r="F57" s="844">
        <v>1.808524015132201E-3</v>
      </c>
      <c r="G57" s="844">
        <v>1.2703318789135613E-3</v>
      </c>
      <c r="H57" s="844">
        <v>4.21531413917364E-3</v>
      </c>
      <c r="K57" s="637">
        <v>35</v>
      </c>
      <c r="L57" s="843">
        <v>1312.2987785339335</v>
      </c>
      <c r="M57" s="844">
        <v>0.36078844516197239</v>
      </c>
      <c r="N57" s="844">
        <v>1.0539657801047024</v>
      </c>
      <c r="O57" s="844">
        <v>2.6091418549185598E-2</v>
      </c>
      <c r="P57" s="844">
        <v>2.4004061706364127E-2</v>
      </c>
      <c r="Q57" s="844">
        <v>1.0942972337943488E-2</v>
      </c>
      <c r="R57" s="844">
        <v>5.1694243825750143E-2</v>
      </c>
    </row>
    <row r="58" spans="1:18" x14ac:dyDescent="0.3">
      <c r="A58" s="637">
        <v>40</v>
      </c>
      <c r="B58" s="843">
        <v>184.7354393005368</v>
      </c>
      <c r="C58" s="844">
        <v>0.81578674010961449</v>
      </c>
      <c r="D58" s="844">
        <v>2.1531705040651106E-2</v>
      </c>
      <c r="E58" s="844">
        <v>2.1161334079806637E-3</v>
      </c>
      <c r="F58" s="844">
        <v>1.8719706794172394E-3</v>
      </c>
      <c r="G58" s="844">
        <v>1.2356287552393E-3</v>
      </c>
      <c r="H58" s="844">
        <v>4.3866202793196819E-3</v>
      </c>
      <c r="K58" s="637">
        <v>40</v>
      </c>
      <c r="L58" s="843">
        <v>1257.6798229217504</v>
      </c>
      <c r="M58" s="844">
        <v>0.33910671567173251</v>
      </c>
      <c r="N58" s="844">
        <v>0.99283308957002459</v>
      </c>
      <c r="O58" s="844">
        <v>2.4412411177763702E-2</v>
      </c>
      <c r="P58" s="844">
        <v>2.2459352941950745E-2</v>
      </c>
      <c r="Q58" s="844">
        <v>1.0487564693903526E-2</v>
      </c>
      <c r="R58" s="844">
        <v>4.6222307316554627E-2</v>
      </c>
    </row>
    <row r="59" spans="1:18" x14ac:dyDescent="0.3">
      <c r="A59" s="637">
        <v>45</v>
      </c>
      <c r="B59" s="843">
        <v>180.50893878936722</v>
      </c>
      <c r="C59" s="844">
        <v>0.84288476460278527</v>
      </c>
      <c r="D59" s="844">
        <v>2.3613482154935597E-2</v>
      </c>
      <c r="E59" s="844">
        <v>2.1455254529882889E-3</v>
      </c>
      <c r="F59" s="844">
        <v>1.8979732603270293E-3</v>
      </c>
      <c r="G59" s="844">
        <v>1.2073581237927956E-3</v>
      </c>
      <c r="H59" s="844">
        <v>4.5121031771486681E-3</v>
      </c>
      <c r="K59" s="637">
        <v>45</v>
      </c>
      <c r="L59" s="843">
        <v>1213.357297897337</v>
      </c>
      <c r="M59" s="844">
        <v>0.32188175264593583</v>
      </c>
      <c r="N59" s="844">
        <v>0.94460990954220669</v>
      </c>
      <c r="O59" s="844">
        <v>2.3080042621586444E-2</v>
      </c>
      <c r="P59" s="844">
        <v>2.1233572042547135E-2</v>
      </c>
      <c r="Q59" s="844">
        <v>1.0117995057953509E-2</v>
      </c>
      <c r="R59" s="844">
        <v>4.1967132898207617E-2</v>
      </c>
    </row>
    <row r="60" spans="1:18" x14ac:dyDescent="0.3">
      <c r="A60" s="637">
        <v>50</v>
      </c>
      <c r="B60" s="843">
        <v>176.04312324523883</v>
      </c>
      <c r="C60" s="844">
        <v>0.84304139925006782</v>
      </c>
      <c r="D60" s="844">
        <v>2.509592887200535E-2</v>
      </c>
      <c r="E60" s="844">
        <v>2.1218413094174996E-3</v>
      </c>
      <c r="F60" s="844">
        <v>1.8770226179753945E-3</v>
      </c>
      <c r="G60" s="844">
        <v>1.1774906379287103E-3</v>
      </c>
      <c r="H60" s="844">
        <v>4.5637320017704007E-3</v>
      </c>
      <c r="K60" s="637">
        <v>50</v>
      </c>
      <c r="L60" s="843">
        <v>1147.5728073120094</v>
      </c>
      <c r="M60" s="844">
        <v>0.3057517979744942</v>
      </c>
      <c r="N60" s="844">
        <v>0.89218490914643445</v>
      </c>
      <c r="O60" s="844">
        <v>2.0980905188480357E-2</v>
      </c>
      <c r="P60" s="844">
        <v>1.93023812025785E-2</v>
      </c>
      <c r="Q60" s="844">
        <v>9.5694471820024513E-3</v>
      </c>
      <c r="R60" s="844">
        <v>3.8444187546133421E-2</v>
      </c>
    </row>
    <row r="61" spans="1:18" x14ac:dyDescent="0.3">
      <c r="A61" s="637">
        <v>55</v>
      </c>
      <c r="B61" s="843">
        <v>172.57881164550739</v>
      </c>
      <c r="C61" s="844">
        <v>0.82981128316168773</v>
      </c>
      <c r="D61" s="844">
        <v>2.6263856892242598E-2</v>
      </c>
      <c r="E61" s="844">
        <v>2.0500281901263354E-3</v>
      </c>
      <c r="F61" s="844">
        <v>1.8134934253453102E-3</v>
      </c>
      <c r="G61" s="844">
        <v>1.1543200016603723E-3</v>
      </c>
      <c r="H61" s="844">
        <v>4.533078940994523E-3</v>
      </c>
      <c r="K61" s="637">
        <v>55</v>
      </c>
      <c r="L61" s="843">
        <v>1086.3909015655504</v>
      </c>
      <c r="M61" s="844">
        <v>0.2922181636647847</v>
      </c>
      <c r="N61" s="844">
        <v>0.84787474786268047</v>
      </c>
      <c r="O61" s="844">
        <v>1.8727990609477239E-2</v>
      </c>
      <c r="P61" s="844">
        <v>1.7229688703082436E-2</v>
      </c>
      <c r="Q61" s="844">
        <v>9.0592887281672786E-3</v>
      </c>
      <c r="R61" s="844">
        <v>3.5534634924431409E-2</v>
      </c>
    </row>
    <row r="62" spans="1:18" x14ac:dyDescent="0.3">
      <c r="A62" s="637">
        <v>60</v>
      </c>
      <c r="B62" s="843">
        <v>170.30806159973093</v>
      </c>
      <c r="C62" s="844">
        <v>0.83587549687217644</v>
      </c>
      <c r="D62" s="844">
        <v>2.7826350145474469E-2</v>
      </c>
      <c r="E62" s="844">
        <v>1.995067636585184E-3</v>
      </c>
      <c r="F62" s="844">
        <v>1.7648750285843519E-3</v>
      </c>
      <c r="G62" s="844">
        <v>1.1391294101485939E-3</v>
      </c>
      <c r="H62" s="844">
        <v>4.589728236851439E-3</v>
      </c>
      <c r="K62" s="637">
        <v>60</v>
      </c>
      <c r="L62" s="843">
        <v>1072.7407417297343</v>
      </c>
      <c r="M62" s="844">
        <v>0.27479708450039181</v>
      </c>
      <c r="N62" s="844">
        <v>0.83643223942357037</v>
      </c>
      <c r="O62" s="844">
        <v>1.7488291894551321E-2</v>
      </c>
      <c r="P62" s="844">
        <v>1.608916974510061E-2</v>
      </c>
      <c r="Q62" s="844">
        <v>8.9454659464535922E-3</v>
      </c>
      <c r="R62" s="844">
        <v>3.2681374680606702E-2</v>
      </c>
    </row>
    <row r="63" spans="1:18" x14ac:dyDescent="0.3">
      <c r="A63" s="637">
        <v>65</v>
      </c>
      <c r="B63" s="843">
        <v>171.36512374877887</v>
      </c>
      <c r="C63" s="844">
        <v>0.87080420301572103</v>
      </c>
      <c r="D63" s="844">
        <v>3.2102084225130008E-2</v>
      </c>
      <c r="E63" s="844">
        <v>2.026112822136379E-3</v>
      </c>
      <c r="F63" s="844">
        <v>1.792341156601646E-3</v>
      </c>
      <c r="G63" s="844">
        <v>1.1462012334959523E-3</v>
      </c>
      <c r="H63" s="844">
        <v>4.9891202074832082E-3</v>
      </c>
      <c r="K63" s="637">
        <v>65</v>
      </c>
      <c r="L63" s="843">
        <v>1119.932584762571</v>
      </c>
      <c r="M63" s="844">
        <v>0.25626924886373093</v>
      </c>
      <c r="N63" s="844">
        <v>0.85856914874063217</v>
      </c>
      <c r="O63" s="844">
        <v>1.7384656137437501E-2</v>
      </c>
      <c r="P63" s="844">
        <v>1.5993840075680006E-2</v>
      </c>
      <c r="Q63" s="844">
        <v>9.3390202382579168E-3</v>
      </c>
      <c r="R63" s="844">
        <v>3.0039552085526111E-2</v>
      </c>
    </row>
    <row r="64" spans="1:18" x14ac:dyDescent="0.3">
      <c r="A64" s="637">
        <v>70</v>
      </c>
      <c r="B64" s="843">
        <v>176.54175186157164</v>
      </c>
      <c r="C64" s="844">
        <v>1.0040391953189072</v>
      </c>
      <c r="D64" s="844">
        <v>4.1340378565521911E-2</v>
      </c>
      <c r="E64" s="844">
        <v>2.14894134387577E-3</v>
      </c>
      <c r="F64" s="844">
        <v>1.9009922513077938E-3</v>
      </c>
      <c r="G64" s="844">
        <v>1.1808249837486013E-3</v>
      </c>
      <c r="H64" s="844">
        <v>6.073834512790195E-3</v>
      </c>
      <c r="K64" s="637">
        <v>70</v>
      </c>
      <c r="L64" s="843">
        <v>1162.493192672727</v>
      </c>
      <c r="M64" s="844">
        <v>0.24037275738950792</v>
      </c>
      <c r="N64" s="844">
        <v>0.87873197074225506</v>
      </c>
      <c r="O64" s="844">
        <v>1.7281330801779342E-2</v>
      </c>
      <c r="P64" s="844">
        <v>1.589877883816368E-2</v>
      </c>
      <c r="Q64" s="844">
        <v>9.6939615905284691E-3</v>
      </c>
      <c r="R64" s="844">
        <v>2.7757194621017299E-2</v>
      </c>
    </row>
    <row r="65" spans="1:18" x14ac:dyDescent="0.3">
      <c r="A65" s="637">
        <v>75</v>
      </c>
      <c r="B65" s="843">
        <v>185.30512428283626</v>
      </c>
      <c r="C65" s="844">
        <v>1.3076155881135461</v>
      </c>
      <c r="D65" s="844">
        <v>5.4472541421148366E-2</v>
      </c>
      <c r="E65" s="844">
        <v>2.4679985385773701E-3</v>
      </c>
      <c r="F65" s="844">
        <v>2.1832392268379365E-3</v>
      </c>
      <c r="G65" s="844">
        <v>1.2394387304084323E-3</v>
      </c>
      <c r="H65" s="844">
        <v>7.7153982501840758E-3</v>
      </c>
      <c r="K65" s="637">
        <v>75</v>
      </c>
      <c r="L65" s="843">
        <v>1230.5561885833729</v>
      </c>
      <c r="M65" s="844">
        <v>0.22656615462935273</v>
      </c>
      <c r="N65" s="844">
        <v>0.91444021654929919</v>
      </c>
      <c r="O65" s="844">
        <v>1.7515055020339738E-2</v>
      </c>
      <c r="P65" s="844">
        <v>1.6113790523377199E-2</v>
      </c>
      <c r="Q65" s="844">
        <v>1.0261554576572938E-2</v>
      </c>
      <c r="R65" s="844">
        <v>2.5790019818771236E-2</v>
      </c>
    </row>
    <row r="66" spans="1:18" x14ac:dyDescent="0.3">
      <c r="B66" s="841"/>
      <c r="C66" s="841"/>
      <c r="D66" s="841"/>
      <c r="E66" s="841"/>
      <c r="F66" s="841"/>
      <c r="G66" s="841"/>
      <c r="H66" s="841"/>
    </row>
    <row r="67" spans="1:18" x14ac:dyDescent="0.3">
      <c r="A67" s="637" t="s">
        <v>784</v>
      </c>
      <c r="B67" s="841">
        <v>2045</v>
      </c>
      <c r="K67" s="637" t="s">
        <v>784</v>
      </c>
      <c r="L67" s="841">
        <v>2045</v>
      </c>
    </row>
    <row r="68" spans="1:18" x14ac:dyDescent="0.3">
      <c r="A68" s="637" t="s">
        <v>785</v>
      </c>
      <c r="B68" s="841" t="s">
        <v>786</v>
      </c>
      <c r="K68" s="637" t="s">
        <v>785</v>
      </c>
      <c r="L68" s="841" t="s">
        <v>198</v>
      </c>
    </row>
    <row r="69" spans="1:18" x14ac:dyDescent="0.3">
      <c r="A69" s="637" t="s">
        <v>787</v>
      </c>
      <c r="B69" s="841" t="s">
        <v>788</v>
      </c>
      <c r="K69" s="637" t="s">
        <v>787</v>
      </c>
      <c r="L69" s="841" t="s">
        <v>789</v>
      </c>
    </row>
    <row r="71" spans="1:18" x14ac:dyDescent="0.3">
      <c r="A71" s="637" t="s">
        <v>790</v>
      </c>
      <c r="B71" s="842" t="s">
        <v>537</v>
      </c>
      <c r="C71" s="842" t="s">
        <v>536</v>
      </c>
      <c r="D71" s="842" t="s">
        <v>538</v>
      </c>
      <c r="E71" s="842" t="s">
        <v>539</v>
      </c>
      <c r="F71" s="842" t="s">
        <v>540</v>
      </c>
      <c r="G71" s="842" t="s">
        <v>542</v>
      </c>
      <c r="H71" s="842" t="s">
        <v>541</v>
      </c>
      <c r="K71" s="637" t="s">
        <v>790</v>
      </c>
      <c r="L71" s="842" t="s">
        <v>537</v>
      </c>
      <c r="M71" s="842" t="s">
        <v>536</v>
      </c>
      <c r="N71" s="842" t="s">
        <v>538</v>
      </c>
      <c r="O71" s="842" t="s">
        <v>539</v>
      </c>
      <c r="P71" s="842" t="s">
        <v>540</v>
      </c>
      <c r="Q71" s="842" t="s">
        <v>542</v>
      </c>
      <c r="R71" s="842" t="s">
        <v>541</v>
      </c>
    </row>
    <row r="72" spans="1:18" x14ac:dyDescent="0.3">
      <c r="A72" s="637">
        <v>2.5</v>
      </c>
      <c r="B72" s="843">
        <v>1051.1074905395494</v>
      </c>
      <c r="C72" s="844">
        <v>1.7343551612793786</v>
      </c>
      <c r="D72" s="844">
        <v>4.2995819841618E-3</v>
      </c>
      <c r="E72" s="844">
        <v>8.9923717059718876E-3</v>
      </c>
      <c r="F72" s="844">
        <v>7.9548247038019274E-3</v>
      </c>
      <c r="G72" s="844">
        <v>7.0551300304941772E-3</v>
      </c>
      <c r="H72" s="844">
        <v>7.4315542015028716E-3</v>
      </c>
      <c r="K72" s="637">
        <v>2.5</v>
      </c>
      <c r="L72" s="843">
        <v>7421.7656097412109</v>
      </c>
      <c r="M72" s="844">
        <v>2.4909475445747296</v>
      </c>
      <c r="N72" s="844">
        <v>6.8572870716452581</v>
      </c>
      <c r="O72" s="844">
        <v>0.15140426787547726</v>
      </c>
      <c r="P72" s="844">
        <v>0.13929155096411647</v>
      </c>
      <c r="Q72" s="844">
        <v>6.1876161198597388E-2</v>
      </c>
      <c r="R72" s="844">
        <v>0.50604323297739018</v>
      </c>
    </row>
    <row r="73" spans="1:18" x14ac:dyDescent="0.3">
      <c r="A73" s="637">
        <v>5</v>
      </c>
      <c r="B73" s="843">
        <v>583.20814514160145</v>
      </c>
      <c r="C73" s="844">
        <v>1.1485972005175387</v>
      </c>
      <c r="D73" s="844">
        <v>8.4162911165535058E-3</v>
      </c>
      <c r="E73" s="844">
        <v>5.2031688210263331E-3</v>
      </c>
      <c r="F73" s="844">
        <v>4.6028240708437754E-3</v>
      </c>
      <c r="G73" s="844">
        <v>3.9145512855611681E-3</v>
      </c>
      <c r="H73" s="844">
        <v>5.413479503658886E-3</v>
      </c>
      <c r="K73" s="637">
        <v>5</v>
      </c>
      <c r="L73" s="843">
        <v>3905.016571044921</v>
      </c>
      <c r="M73" s="844">
        <v>1.3369737416505774</v>
      </c>
      <c r="N73" s="844">
        <v>3.5105015859007809</v>
      </c>
      <c r="O73" s="844">
        <v>7.8115599229931804E-2</v>
      </c>
      <c r="P73" s="844">
        <v>7.1866112528368817E-2</v>
      </c>
      <c r="Q73" s="844">
        <v>3.2556584454141529E-2</v>
      </c>
      <c r="R73" s="844">
        <v>0.28114537149667718</v>
      </c>
    </row>
    <row r="74" spans="1:18" x14ac:dyDescent="0.3">
      <c r="A74" s="637">
        <v>10</v>
      </c>
      <c r="B74" s="843">
        <v>349.72337722778292</v>
      </c>
      <c r="C74" s="844">
        <v>0.8460023148327287</v>
      </c>
      <c r="D74" s="844">
        <v>9.586184070885264E-3</v>
      </c>
      <c r="E74" s="844">
        <v>3.2324405092367639E-3</v>
      </c>
      <c r="F74" s="844">
        <v>2.8594779994364169E-3</v>
      </c>
      <c r="G74" s="844">
        <v>2.3473737819585941E-3</v>
      </c>
      <c r="H74" s="844">
        <v>4.2654212270463124E-3</v>
      </c>
      <c r="K74" s="637">
        <v>10</v>
      </c>
      <c r="L74" s="843">
        <v>2363.9921798706036</v>
      </c>
      <c r="M74" s="844">
        <v>0.73596275597810723</v>
      </c>
      <c r="N74" s="844">
        <v>2.072707816958423</v>
      </c>
      <c r="O74" s="844">
        <v>4.6790721040451871E-2</v>
      </c>
      <c r="P74" s="844">
        <v>4.3047325219959E-2</v>
      </c>
      <c r="Q74" s="844">
        <v>1.9708903098944543E-2</v>
      </c>
      <c r="R74" s="844">
        <v>0.14775104657746777</v>
      </c>
    </row>
    <row r="75" spans="1:18" x14ac:dyDescent="0.3">
      <c r="A75" s="637">
        <v>15</v>
      </c>
      <c r="B75" s="843">
        <v>275.00362777709944</v>
      </c>
      <c r="C75" s="844">
        <v>0.73929515801137291</v>
      </c>
      <c r="D75" s="844">
        <v>8.272332166722381E-3</v>
      </c>
      <c r="E75" s="844">
        <v>2.424750259024219E-3</v>
      </c>
      <c r="F75" s="844">
        <v>2.1449811367801825E-3</v>
      </c>
      <c r="G75" s="844">
        <v>1.8458487611496804E-3</v>
      </c>
      <c r="H75" s="844">
        <v>3.6267290702198755E-3</v>
      </c>
      <c r="K75" s="637">
        <v>15</v>
      </c>
      <c r="L75" s="843">
        <v>1999.3287620544418</v>
      </c>
      <c r="M75" s="844">
        <v>0.56219299882650364</v>
      </c>
      <c r="N75" s="844">
        <v>1.6717612519860228</v>
      </c>
      <c r="O75" s="844">
        <v>3.9648194913752356E-2</v>
      </c>
      <c r="P75" s="844">
        <v>3.64761848468333E-2</v>
      </c>
      <c r="Q75" s="844">
        <v>1.6668662428855851E-2</v>
      </c>
      <c r="R75" s="844">
        <v>0.10173987597227058</v>
      </c>
    </row>
    <row r="76" spans="1:18" x14ac:dyDescent="0.3">
      <c r="A76" s="637">
        <v>20</v>
      </c>
      <c r="B76" s="843">
        <v>233.27337265014572</v>
      </c>
      <c r="C76" s="844">
        <v>0.67307862355482906</v>
      </c>
      <c r="D76" s="844">
        <v>8.6250337682169699E-3</v>
      </c>
      <c r="E76" s="844">
        <v>2.0493119006914601E-3</v>
      </c>
      <c r="F76" s="844">
        <v>1.8128615661225874E-3</v>
      </c>
      <c r="G76" s="844">
        <v>1.5657500043744145E-3</v>
      </c>
      <c r="H76" s="844">
        <v>3.2853966117727339E-3</v>
      </c>
      <c r="K76" s="637">
        <v>20</v>
      </c>
      <c r="L76" s="843">
        <v>1732.8628196716274</v>
      </c>
      <c r="M76" s="844">
        <v>0.48137762024998654</v>
      </c>
      <c r="N76" s="844">
        <v>1.4044934362173038</v>
      </c>
      <c r="O76" s="844">
        <v>3.4931633621454211E-2</v>
      </c>
      <c r="P76" s="844">
        <v>3.2137003734533175E-2</v>
      </c>
      <c r="Q76" s="844">
        <v>1.4447104767896185E-2</v>
      </c>
      <c r="R76" s="844">
        <v>7.7987594995647655E-2</v>
      </c>
    </row>
    <row r="77" spans="1:18" x14ac:dyDescent="0.3">
      <c r="A77" s="637">
        <v>25</v>
      </c>
      <c r="B77" s="843">
        <v>207.50399780273426</v>
      </c>
      <c r="C77" s="844">
        <v>0.57162422142573566</v>
      </c>
      <c r="D77" s="844">
        <v>8.688708278187433E-3</v>
      </c>
      <c r="E77" s="844">
        <v>1.8292831783810425E-3</v>
      </c>
      <c r="F77" s="844">
        <v>1.6182192645146601E-3</v>
      </c>
      <c r="G77" s="844">
        <v>1.3927850086474761E-3</v>
      </c>
      <c r="H77" s="844">
        <v>3.0025269211364477E-3</v>
      </c>
      <c r="K77" s="637">
        <v>25</v>
      </c>
      <c r="L77" s="843">
        <v>1587.32470321655</v>
      </c>
      <c r="M77" s="844">
        <v>0.42925337702035887</v>
      </c>
      <c r="N77" s="844">
        <v>1.2449497096240496</v>
      </c>
      <c r="O77" s="844">
        <v>3.1923624104820178E-2</v>
      </c>
      <c r="P77" s="844">
        <v>2.9369617404881844E-2</v>
      </c>
      <c r="Q77" s="844">
        <v>1.3233723060693585E-2</v>
      </c>
      <c r="R77" s="844">
        <v>6.4379626419395181E-2</v>
      </c>
    </row>
    <row r="78" spans="1:18" x14ac:dyDescent="0.3">
      <c r="A78" s="637">
        <v>30</v>
      </c>
      <c r="B78" s="843">
        <v>189.06024932861285</v>
      </c>
      <c r="C78" s="844">
        <v>0.59871416511668918</v>
      </c>
      <c r="D78" s="844">
        <v>1.0796541757414926E-2</v>
      </c>
      <c r="E78" s="844">
        <v>1.7918018966156476E-3</v>
      </c>
      <c r="F78" s="844">
        <v>1.5850610901679773E-3</v>
      </c>
      <c r="G78" s="844">
        <v>1.2689900031546113E-3</v>
      </c>
      <c r="H78" s="844">
        <v>3.0580490893043978E-3</v>
      </c>
      <c r="K78" s="637">
        <v>30</v>
      </c>
      <c r="L78" s="843">
        <v>1535.4671955108606</v>
      </c>
      <c r="M78" s="844">
        <v>0.38727564085274924</v>
      </c>
      <c r="N78" s="844">
        <v>1.1728627160191507</v>
      </c>
      <c r="O78" s="844">
        <v>3.0375504866242378E-2</v>
      </c>
      <c r="P78" s="844">
        <v>2.7945381472818498E-2</v>
      </c>
      <c r="Q78" s="844">
        <v>1.2801372708054225E-2</v>
      </c>
      <c r="R78" s="844">
        <v>5.4838651965837905E-2</v>
      </c>
    </row>
    <row r="79" spans="1:18" x14ac:dyDescent="0.3">
      <c r="A79" s="637">
        <v>35</v>
      </c>
      <c r="B79" s="843">
        <v>181.60975360870307</v>
      </c>
      <c r="C79" s="844">
        <v>0.66105613492436421</v>
      </c>
      <c r="D79" s="844">
        <v>1.4372093546818078E-2</v>
      </c>
      <c r="E79" s="844">
        <v>1.8621231275233133E-3</v>
      </c>
      <c r="F79" s="844">
        <v>1.6472704480747736E-3</v>
      </c>
      <c r="G79" s="844">
        <v>1.2189825065433923E-3</v>
      </c>
      <c r="H79" s="844">
        <v>3.281235568465486E-3</v>
      </c>
      <c r="K79" s="637">
        <v>35</v>
      </c>
      <c r="L79" s="843">
        <v>1308.7138156890842</v>
      </c>
      <c r="M79" s="844">
        <v>0.35399037972092623</v>
      </c>
      <c r="N79" s="844">
        <v>1.014997001737354</v>
      </c>
      <c r="O79" s="844">
        <v>2.4449021264444998E-2</v>
      </c>
      <c r="P79" s="844">
        <v>2.2493019874673302E-2</v>
      </c>
      <c r="Q79" s="844">
        <v>1.0910908764344621E-2</v>
      </c>
      <c r="R79" s="844">
        <v>4.9785537179559448E-2</v>
      </c>
    </row>
    <row r="80" spans="1:18" x14ac:dyDescent="0.3">
      <c r="A80" s="637">
        <v>40</v>
      </c>
      <c r="B80" s="843">
        <v>176.64856243133477</v>
      </c>
      <c r="C80" s="844">
        <v>0.70126416192215257</v>
      </c>
      <c r="D80" s="844">
        <v>1.6948246645362937E-2</v>
      </c>
      <c r="E80" s="844">
        <v>1.927450344112453E-3</v>
      </c>
      <c r="F80" s="844">
        <v>1.7050609862962988E-3</v>
      </c>
      <c r="G80" s="844">
        <v>1.1856812561745688E-3</v>
      </c>
      <c r="H80" s="844">
        <v>3.4152559187532409E-3</v>
      </c>
      <c r="K80" s="637">
        <v>40</v>
      </c>
      <c r="L80" s="843">
        <v>1254.050554275512</v>
      </c>
      <c r="M80" s="844">
        <v>0.33274558745324584</v>
      </c>
      <c r="N80" s="844">
        <v>0.95571732241660112</v>
      </c>
      <c r="O80" s="844">
        <v>2.2894135530805184E-2</v>
      </c>
      <c r="P80" s="844">
        <v>2.1062525484012402E-2</v>
      </c>
      <c r="Q80" s="844">
        <v>1.0455174415255869E-2</v>
      </c>
      <c r="R80" s="844">
        <v>4.4524100027047091E-2</v>
      </c>
    </row>
    <row r="81" spans="1:18" x14ac:dyDescent="0.3">
      <c r="A81" s="637">
        <v>45</v>
      </c>
      <c r="B81" s="843">
        <v>172.60681343078591</v>
      </c>
      <c r="C81" s="844">
        <v>0.72958718961945024</v>
      </c>
      <c r="D81" s="844">
        <v>1.8917494016012129E-2</v>
      </c>
      <c r="E81" s="844">
        <v>1.9542240725058889E-3</v>
      </c>
      <c r="F81" s="844">
        <v>1.728743898240731E-3</v>
      </c>
      <c r="G81" s="844">
        <v>1.1585531174205181E-3</v>
      </c>
      <c r="H81" s="844">
        <v>3.5134495897182179E-3</v>
      </c>
      <c r="K81" s="637">
        <v>45</v>
      </c>
      <c r="L81" s="843">
        <v>1209.6957759857166</v>
      </c>
      <c r="M81" s="844">
        <v>0.31586350128054608</v>
      </c>
      <c r="N81" s="844">
        <v>0.90894990786909824</v>
      </c>
      <c r="O81" s="844">
        <v>2.16593225486576E-2</v>
      </c>
      <c r="P81" s="844">
        <v>1.992652300395998E-2</v>
      </c>
      <c r="Q81" s="844">
        <v>1.0085372196044747E-2</v>
      </c>
      <c r="R81" s="844">
        <v>4.0432105539366568E-2</v>
      </c>
    </row>
    <row r="82" spans="1:18" x14ac:dyDescent="0.3">
      <c r="A82" s="637">
        <v>50</v>
      </c>
      <c r="B82" s="843">
        <v>168.33637523651063</v>
      </c>
      <c r="C82" s="844">
        <v>0.73268416176688322</v>
      </c>
      <c r="D82" s="844">
        <v>2.0336044734843694E-2</v>
      </c>
      <c r="E82" s="844">
        <v>1.9326503627894406E-3</v>
      </c>
      <c r="F82" s="844">
        <v>1.7096624595183089E-3</v>
      </c>
      <c r="G82" s="844">
        <v>1.1298906320007457E-3</v>
      </c>
      <c r="H82" s="844">
        <v>3.5539833104394308E-3</v>
      </c>
      <c r="K82" s="637">
        <v>50</v>
      </c>
      <c r="L82" s="843">
        <v>1143.8533115386947</v>
      </c>
      <c r="M82" s="844">
        <v>0.30002175271511067</v>
      </c>
      <c r="N82" s="844">
        <v>0.85815338976681033</v>
      </c>
      <c r="O82" s="844">
        <v>1.9705200422322329E-2</v>
      </c>
      <c r="P82" s="844">
        <v>1.81287250597961E-2</v>
      </c>
      <c r="Q82" s="844">
        <v>9.5364474545931322E-3</v>
      </c>
      <c r="R82" s="844">
        <v>3.7042430834844688E-2</v>
      </c>
    </row>
    <row r="83" spans="1:18" x14ac:dyDescent="0.3">
      <c r="A83" s="637">
        <v>55</v>
      </c>
      <c r="B83" s="843">
        <v>165.02374935150087</v>
      </c>
      <c r="C83" s="844">
        <v>0.72288438656414544</v>
      </c>
      <c r="D83" s="844">
        <v>2.1458520995867713E-2</v>
      </c>
      <c r="E83" s="844">
        <v>1.8672411833335844E-3</v>
      </c>
      <c r="F83" s="844">
        <v>1.6517963611590819E-3</v>
      </c>
      <c r="G83" s="844">
        <v>1.1076574955950428E-3</v>
      </c>
      <c r="H83" s="844">
        <v>3.5303212064263724E-3</v>
      </c>
      <c r="K83" s="637">
        <v>55</v>
      </c>
      <c r="L83" s="843">
        <v>1082.7134304046615</v>
      </c>
      <c r="M83" s="844">
        <v>0.28674200177192682</v>
      </c>
      <c r="N83" s="844">
        <v>0.81549031101166969</v>
      </c>
      <c r="O83" s="844">
        <v>1.7609686481591749E-2</v>
      </c>
      <c r="P83" s="844">
        <v>1.6200870275497402E-2</v>
      </c>
      <c r="Q83" s="844">
        <v>9.0267171181039694E-3</v>
      </c>
      <c r="R83" s="844">
        <v>3.4242825116962167E-2</v>
      </c>
    </row>
    <row r="84" spans="1:18" x14ac:dyDescent="0.3">
      <c r="A84" s="637">
        <v>60</v>
      </c>
      <c r="B84" s="843">
        <v>162.85218715667682</v>
      </c>
      <c r="C84" s="844">
        <v>0.73030831509276983</v>
      </c>
      <c r="D84" s="844">
        <v>2.2947492821405242E-2</v>
      </c>
      <c r="E84" s="844">
        <v>1.8171808390547927E-3</v>
      </c>
      <c r="F84" s="844">
        <v>1.6075143028615403E-3</v>
      </c>
      <c r="G84" s="844">
        <v>1.0930793650913938E-3</v>
      </c>
      <c r="H84" s="844">
        <v>3.5746854732678864E-3</v>
      </c>
      <c r="K84" s="637">
        <v>60</v>
      </c>
      <c r="L84" s="843">
        <v>1069.5791606903053</v>
      </c>
      <c r="M84" s="844">
        <v>0.26969449967145903</v>
      </c>
      <c r="N84" s="844">
        <v>0.80551121663301983</v>
      </c>
      <c r="O84" s="844">
        <v>1.6470892624056387E-2</v>
      </c>
      <c r="P84" s="844">
        <v>1.5153166925301725E-2</v>
      </c>
      <c r="Q84" s="844">
        <v>8.9172031439374837E-3</v>
      </c>
      <c r="R84" s="844">
        <v>3.1491125235334032E-2</v>
      </c>
    </row>
    <row r="85" spans="1:18" x14ac:dyDescent="0.3">
      <c r="A85" s="637">
        <v>65</v>
      </c>
      <c r="B85" s="843">
        <v>163.86324882507273</v>
      </c>
      <c r="C85" s="844">
        <v>0.76415077452838764</v>
      </c>
      <c r="D85" s="844">
        <v>2.6979541606443974E-2</v>
      </c>
      <c r="E85" s="844">
        <v>1.845458987190791E-3</v>
      </c>
      <c r="F85" s="844">
        <v>1.6325303280382225E-3</v>
      </c>
      <c r="G85" s="844">
        <v>1.0998637444572476E-3</v>
      </c>
      <c r="H85" s="844">
        <v>3.8862292722114892E-3</v>
      </c>
      <c r="K85" s="637">
        <v>65</v>
      </c>
      <c r="L85" s="843">
        <v>1116.3283138275121</v>
      </c>
      <c r="M85" s="844">
        <v>0.25152494991198127</v>
      </c>
      <c r="N85" s="844">
        <v>0.82658215425908399</v>
      </c>
      <c r="O85" s="844">
        <v>1.63685576553689E-2</v>
      </c>
      <c r="P85" s="844">
        <v>1.5059031204145821E-2</v>
      </c>
      <c r="Q85" s="844">
        <v>9.3069778231438024E-3</v>
      </c>
      <c r="R85" s="844">
        <v>2.8945812489837398E-2</v>
      </c>
    </row>
    <row r="86" spans="1:18" x14ac:dyDescent="0.3">
      <c r="A86" s="637">
        <v>70</v>
      </c>
      <c r="B86" s="843">
        <v>168.81262588500923</v>
      </c>
      <c r="C86" s="844">
        <v>0.88567481125210001</v>
      </c>
      <c r="D86" s="844">
        <v>3.571487859058204E-2</v>
      </c>
      <c r="E86" s="844">
        <v>1.9573318877519285E-3</v>
      </c>
      <c r="F86" s="844">
        <v>1.7314945275757015E-3</v>
      </c>
      <c r="G86" s="844">
        <v>1.1330875277053526E-3</v>
      </c>
      <c r="H86" s="844">
        <v>4.7319269378931451E-3</v>
      </c>
      <c r="K86" s="637">
        <v>70</v>
      </c>
      <c r="L86" s="843">
        <v>1158.5046634674054</v>
      </c>
      <c r="M86" s="844">
        <v>0.23593649826943858</v>
      </c>
      <c r="N86" s="844">
        <v>0.84580276720225556</v>
      </c>
      <c r="O86" s="844">
        <v>1.6267884508124518E-2</v>
      </c>
      <c r="P86" s="844">
        <v>1.4966404662118241E-2</v>
      </c>
      <c r="Q86" s="844">
        <v>9.6586089784977784E-3</v>
      </c>
      <c r="R86" s="844">
        <v>2.6746537769213308E-2</v>
      </c>
    </row>
    <row r="87" spans="1:18" x14ac:dyDescent="0.3">
      <c r="A87" s="637">
        <v>75</v>
      </c>
      <c r="B87" s="843">
        <v>177.19274711608824</v>
      </c>
      <c r="C87" s="844">
        <v>1.1599702975981887</v>
      </c>
      <c r="D87" s="844">
        <v>4.8131331699849469E-2</v>
      </c>
      <c r="E87" s="844">
        <v>2.2479446116676575E-3</v>
      </c>
      <c r="F87" s="844">
        <v>1.9885748750994E-3</v>
      </c>
      <c r="G87" s="844">
        <v>1.1893349874298989E-3</v>
      </c>
      <c r="H87" s="844">
        <v>6.0116430449852444E-3</v>
      </c>
      <c r="K87" s="637">
        <v>75</v>
      </c>
      <c r="L87" s="843">
        <v>1226.1695499420161</v>
      </c>
      <c r="M87" s="844">
        <v>0.22242049872875197</v>
      </c>
      <c r="N87" s="844">
        <v>0.88017032947391016</v>
      </c>
      <c r="O87" s="844">
        <v>1.6482381543028141E-2</v>
      </c>
      <c r="P87" s="844">
        <v>1.5163747259066405E-2</v>
      </c>
      <c r="Q87" s="844">
        <v>1.0222722456091989E-2</v>
      </c>
      <c r="R87" s="844">
        <v>2.4846812477335313E-2</v>
      </c>
    </row>
    <row r="89" spans="1:18" x14ac:dyDescent="0.3">
      <c r="A89" s="638" t="s">
        <v>543</v>
      </c>
    </row>
    <row r="90" spans="1:18" x14ac:dyDescent="0.3">
      <c r="A90" s="638" t="s">
        <v>791</v>
      </c>
    </row>
    <row r="91" spans="1:18" x14ac:dyDescent="0.3">
      <c r="A91" s="638" t="s">
        <v>792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P29"/>
  <sheetViews>
    <sheetView showGridLines="0" workbookViewId="0"/>
  </sheetViews>
  <sheetFormatPr defaultColWidth="9" defaultRowHeight="10.5" x14ac:dyDescent="0.25"/>
  <cols>
    <col min="1" max="1" width="0.88671875" style="535" customWidth="1"/>
    <col min="2" max="2" width="9" style="535"/>
    <col min="3" max="3" width="14.6640625" style="535" bestFit="1" customWidth="1"/>
    <col min="4" max="16384" width="9" style="535"/>
  </cols>
  <sheetData>
    <row r="1" spans="1:16" s="534" customFormat="1" ht="13.1" x14ac:dyDescent="0.25">
      <c r="A1" s="243" t="s">
        <v>419</v>
      </c>
      <c r="B1" s="244"/>
      <c r="C1" s="532"/>
      <c r="D1" s="533"/>
      <c r="E1" s="533"/>
      <c r="F1" s="533"/>
      <c r="G1" s="533"/>
      <c r="H1" s="533"/>
      <c r="I1" s="533"/>
      <c r="J1" s="533"/>
      <c r="K1" s="533"/>
      <c r="L1" s="533"/>
      <c r="M1" s="533"/>
      <c r="N1" s="533"/>
      <c r="O1" s="533"/>
      <c r="P1" s="533"/>
    </row>
    <row r="3" spans="1:16" s="180" customFormat="1" x14ac:dyDescent="0.25">
      <c r="B3" s="181" t="s">
        <v>420</v>
      </c>
    </row>
    <row r="4" spans="1:16" s="180" customFormat="1" x14ac:dyDescent="0.25"/>
    <row r="6" spans="1:16" x14ac:dyDescent="0.25">
      <c r="B6" s="535" t="s">
        <v>421</v>
      </c>
      <c r="C6" s="536"/>
    </row>
    <row r="7" spans="1:16" x14ac:dyDescent="0.25">
      <c r="B7" s="537" t="s">
        <v>422</v>
      </c>
    </row>
    <row r="8" spans="1:16" x14ac:dyDescent="0.25">
      <c r="B8" s="538" t="s">
        <v>238</v>
      </c>
      <c r="C8" s="538" t="s">
        <v>423</v>
      </c>
    </row>
    <row r="9" spans="1:16" x14ac:dyDescent="0.25">
      <c r="B9" s="538">
        <v>2001</v>
      </c>
      <c r="C9" s="539">
        <v>1.3542000000000001</v>
      </c>
    </row>
    <row r="10" spans="1:16" x14ac:dyDescent="0.25">
      <c r="B10" s="538">
        <v>2002</v>
      </c>
      <c r="C10" s="539">
        <v>1.3338000000000001</v>
      </c>
    </row>
    <row r="11" spans="1:16" x14ac:dyDescent="0.25">
      <c r="B11" s="538">
        <v>2003</v>
      </c>
      <c r="C11" s="539">
        <v>1.3077000000000001</v>
      </c>
    </row>
    <row r="12" spans="1:16" x14ac:dyDescent="0.25">
      <c r="B12" s="538">
        <v>2004</v>
      </c>
      <c r="C12" s="539">
        <v>1.2726999999999999</v>
      </c>
    </row>
    <row r="13" spans="1:16" x14ac:dyDescent="0.25">
      <c r="B13" s="538">
        <v>2005</v>
      </c>
      <c r="C13" s="539">
        <v>1.2330000000000001</v>
      </c>
    </row>
    <row r="14" spans="1:16" x14ac:dyDescent="0.25">
      <c r="B14" s="538">
        <v>2006</v>
      </c>
      <c r="C14" s="539">
        <v>1.1961999999999999</v>
      </c>
    </row>
    <row r="15" spans="1:16" x14ac:dyDescent="0.25">
      <c r="B15" s="538">
        <v>2007</v>
      </c>
      <c r="C15" s="539">
        <v>1.1652</v>
      </c>
    </row>
    <row r="16" spans="1:16" x14ac:dyDescent="0.25">
      <c r="B16" s="538">
        <v>2008</v>
      </c>
      <c r="C16" s="539">
        <v>1.1428</v>
      </c>
    </row>
    <row r="17" spans="2:4" x14ac:dyDescent="0.25">
      <c r="B17" s="538">
        <v>2009</v>
      </c>
      <c r="C17" s="539">
        <v>1.1342000000000001</v>
      </c>
    </row>
    <row r="18" spans="2:4" x14ac:dyDescent="0.25">
      <c r="B18" s="538">
        <v>2010</v>
      </c>
      <c r="C18" s="539">
        <v>1.1205000000000001</v>
      </c>
    </row>
    <row r="19" spans="2:4" x14ac:dyDescent="0.25">
      <c r="B19" s="538">
        <v>2011</v>
      </c>
      <c r="C19" s="539">
        <v>1.0979000000000001</v>
      </c>
    </row>
    <row r="20" spans="2:4" x14ac:dyDescent="0.25">
      <c r="B20" s="538">
        <v>2012</v>
      </c>
      <c r="C20" s="539">
        <v>1.0780000000000001</v>
      </c>
    </row>
    <row r="21" spans="2:4" x14ac:dyDescent="0.25">
      <c r="B21" s="538">
        <v>2013</v>
      </c>
      <c r="C21" s="539">
        <v>1.0609</v>
      </c>
    </row>
    <row r="22" spans="2:4" x14ac:dyDescent="0.25">
      <c r="B22" s="538">
        <v>2014</v>
      </c>
      <c r="C22" s="539">
        <v>1.0422</v>
      </c>
    </row>
    <row r="23" spans="2:4" x14ac:dyDescent="0.25">
      <c r="B23" s="538">
        <v>2015</v>
      </c>
      <c r="C23" s="539">
        <v>1.0309999999999999</v>
      </c>
    </row>
    <row r="24" spans="2:4" x14ac:dyDescent="0.25">
      <c r="B24" s="538">
        <v>2016</v>
      </c>
      <c r="C24" s="539">
        <v>1.018</v>
      </c>
    </row>
    <row r="25" spans="2:4" x14ac:dyDescent="0.25">
      <c r="B25" s="538">
        <v>2017</v>
      </c>
      <c r="C25" s="539">
        <v>1</v>
      </c>
    </row>
    <row r="27" spans="2:4" x14ac:dyDescent="0.25">
      <c r="B27" s="540">
        <v>2000</v>
      </c>
      <c r="C27" s="538">
        <v>1.3851</v>
      </c>
      <c r="D27" s="541" t="s">
        <v>424</v>
      </c>
    </row>
    <row r="29" spans="2:4" x14ac:dyDescent="0.25">
      <c r="B29" s="343" t="s">
        <v>109</v>
      </c>
    </row>
  </sheetData>
  <hyperlinks>
    <hyperlink ref="B7" r:id="rId1"/>
  </hyperlinks>
  <pageMargins left="0.7" right="0.7" top="0.75" bottom="0.75" header="0.3" footer="0.3"/>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I335"/>
  <sheetViews>
    <sheetView showGridLines="0" workbookViewId="0"/>
  </sheetViews>
  <sheetFormatPr defaultColWidth="9" defaultRowHeight="10.5" outlineLevelRow="1" x14ac:dyDescent="0.25"/>
  <cols>
    <col min="1" max="1" width="0.88671875" style="269" customWidth="1"/>
    <col min="2" max="2" width="58" style="301" customWidth="1"/>
    <col min="3" max="3" width="7.6640625" style="311" customWidth="1"/>
    <col min="4" max="24" width="7.6640625" style="269" customWidth="1"/>
    <col min="25" max="25" width="7.6640625" style="263" customWidth="1"/>
    <col min="26" max="26" width="7.6640625" style="567" customWidth="1"/>
    <col min="27" max="30" width="7.6640625" style="269" customWidth="1"/>
    <col min="31" max="32" width="9" style="269"/>
    <col min="33" max="33" width="14.6640625" style="269" customWidth="1"/>
    <col min="34" max="16384" width="9" style="269"/>
  </cols>
  <sheetData>
    <row r="1" spans="1:31" s="244" customFormat="1" ht="13.1" x14ac:dyDescent="0.25">
      <c r="A1" s="243" t="s">
        <v>440</v>
      </c>
      <c r="C1" s="547"/>
    </row>
    <row r="3" spans="1:31" s="548" customFormat="1" x14ac:dyDescent="0.25">
      <c r="B3" s="549" t="s">
        <v>441</v>
      </c>
      <c r="C3" s="550"/>
    </row>
    <row r="4" spans="1:31" s="257" customFormat="1" x14ac:dyDescent="0.25">
      <c r="B4" s="551"/>
      <c r="X4" s="552"/>
      <c r="Y4" s="553"/>
      <c r="Z4" s="554"/>
    </row>
    <row r="5" spans="1:31" s="257" customFormat="1" x14ac:dyDescent="0.25">
      <c r="B5" s="551"/>
      <c r="C5" s="272">
        <v>1990</v>
      </c>
      <c r="D5" s="272">
        <v>1991</v>
      </c>
      <c r="E5" s="272">
        <v>1992</v>
      </c>
      <c r="F5" s="272">
        <v>1993</v>
      </c>
      <c r="G5" s="272">
        <v>1994</v>
      </c>
      <c r="H5" s="272">
        <v>1995</v>
      </c>
      <c r="I5" s="272">
        <v>1996</v>
      </c>
      <c r="J5" s="272">
        <v>1997</v>
      </c>
      <c r="K5" s="272">
        <v>1998</v>
      </c>
      <c r="L5" s="272">
        <v>1999</v>
      </c>
      <c r="M5" s="272">
        <v>2000</v>
      </c>
      <c r="N5" s="272">
        <v>2001</v>
      </c>
      <c r="O5" s="272">
        <v>2002</v>
      </c>
      <c r="P5" s="272">
        <v>2003</v>
      </c>
      <c r="Q5" s="272">
        <v>2004</v>
      </c>
      <c r="R5" s="272">
        <v>2005</v>
      </c>
      <c r="S5" s="272">
        <v>2006</v>
      </c>
      <c r="T5" s="272">
        <v>2007</v>
      </c>
      <c r="U5" s="272">
        <v>2008</v>
      </c>
      <c r="V5" s="272">
        <v>2009</v>
      </c>
      <c r="W5" s="272">
        <v>2010</v>
      </c>
      <c r="X5" s="277">
        <v>2011</v>
      </c>
      <c r="Y5" s="277">
        <v>2012</v>
      </c>
      <c r="Z5" s="277">
        <v>2013</v>
      </c>
      <c r="AA5" s="277">
        <v>2014</v>
      </c>
      <c r="AB5" s="277">
        <v>2015</v>
      </c>
      <c r="AC5" s="277">
        <v>2016</v>
      </c>
      <c r="AD5" s="277">
        <v>2017</v>
      </c>
    </row>
    <row r="6" spans="1:31" ht="20.95" x14ac:dyDescent="0.2">
      <c r="B6" s="555" t="s">
        <v>442</v>
      </c>
      <c r="C6" s="556">
        <v>130.69999999999999</v>
      </c>
      <c r="D6" s="556">
        <v>136.19999999999999</v>
      </c>
      <c r="E6" s="556">
        <v>140.30000000000001</v>
      </c>
      <c r="F6" s="556">
        <v>144.5</v>
      </c>
      <c r="G6" s="556">
        <v>148.19999999999999</v>
      </c>
      <c r="H6" s="556">
        <v>152.4</v>
      </c>
      <c r="I6" s="556">
        <v>156.9</v>
      </c>
      <c r="J6" s="556">
        <v>160.5</v>
      </c>
      <c r="K6" s="556">
        <v>163</v>
      </c>
      <c r="L6" s="556">
        <v>166.6</v>
      </c>
      <c r="M6" s="556">
        <v>172.2</v>
      </c>
      <c r="N6" s="556">
        <v>177.1</v>
      </c>
      <c r="O6" s="556">
        <v>179.9</v>
      </c>
      <c r="P6" s="556">
        <v>184</v>
      </c>
      <c r="Q6" s="556">
        <v>188.9</v>
      </c>
      <c r="R6" s="556">
        <v>195.3</v>
      </c>
      <c r="S6" s="556">
        <v>201.6</v>
      </c>
      <c r="T6" s="556">
        <v>207.34200000000001</v>
      </c>
      <c r="U6" s="556">
        <v>215.303</v>
      </c>
      <c r="V6" s="556">
        <v>214.53700000000001</v>
      </c>
      <c r="W6" s="556">
        <v>218.05600000000001</v>
      </c>
      <c r="X6" s="556">
        <v>224.93899999999999</v>
      </c>
      <c r="Y6" s="556">
        <v>229.59399999999999</v>
      </c>
      <c r="Z6" s="556">
        <v>232.95699999999999</v>
      </c>
      <c r="AA6" s="556">
        <v>236.73599999999999</v>
      </c>
      <c r="AB6" s="556">
        <v>237.017</v>
      </c>
      <c r="AC6" s="556">
        <v>240.00700000000001</v>
      </c>
      <c r="AD6" s="556">
        <v>245.12</v>
      </c>
      <c r="AE6" s="257"/>
    </row>
    <row r="7" spans="1:31" x14ac:dyDescent="0.25">
      <c r="B7" s="557" t="s">
        <v>443</v>
      </c>
      <c r="C7" s="314"/>
      <c r="D7" s="314">
        <f t="shared" ref="D7:W7" si="0">D6/C6-1</f>
        <v>4.2081101759755102E-2</v>
      </c>
      <c r="E7" s="314">
        <f t="shared" si="0"/>
        <v>3.0102790014684411E-2</v>
      </c>
      <c r="F7" s="314">
        <f t="shared" si="0"/>
        <v>2.9935851746258013E-2</v>
      </c>
      <c r="G7" s="314">
        <f t="shared" si="0"/>
        <v>2.5605536332179879E-2</v>
      </c>
      <c r="H7" s="314">
        <f t="shared" si="0"/>
        <v>2.8340080971660075E-2</v>
      </c>
      <c r="I7" s="314">
        <f t="shared" si="0"/>
        <v>2.9527559055118058E-2</v>
      </c>
      <c r="J7" s="314">
        <f t="shared" si="0"/>
        <v>2.2944550669216079E-2</v>
      </c>
      <c r="K7" s="314">
        <f t="shared" si="0"/>
        <v>1.5576323987538832E-2</v>
      </c>
      <c r="L7" s="314">
        <f t="shared" si="0"/>
        <v>2.208588957055202E-2</v>
      </c>
      <c r="M7" s="314">
        <f t="shared" si="0"/>
        <v>3.3613445378151141E-2</v>
      </c>
      <c r="N7" s="314">
        <f t="shared" si="0"/>
        <v>2.8455284552845628E-2</v>
      </c>
      <c r="O7" s="314">
        <f t="shared" si="0"/>
        <v>1.5810276679842028E-2</v>
      </c>
      <c r="P7" s="314">
        <f t="shared" si="0"/>
        <v>2.2790439132851503E-2</v>
      </c>
      <c r="Q7" s="314">
        <f t="shared" si="0"/>
        <v>2.6630434782608736E-2</v>
      </c>
      <c r="R7" s="314">
        <f t="shared" si="0"/>
        <v>3.3880359978824881E-2</v>
      </c>
      <c r="S7" s="314">
        <f t="shared" si="0"/>
        <v>3.2258064516129004E-2</v>
      </c>
      <c r="T7" s="314">
        <f t="shared" si="0"/>
        <v>2.84821428571429E-2</v>
      </c>
      <c r="U7" s="314">
        <f t="shared" si="0"/>
        <v>3.8395501152684863E-2</v>
      </c>
      <c r="V7" s="314">
        <f t="shared" si="0"/>
        <v>-3.5577767146764971E-3</v>
      </c>
      <c r="W7" s="314">
        <f t="shared" si="0"/>
        <v>1.6402765024214894E-2</v>
      </c>
      <c r="X7" s="558">
        <f>X6/W6-1</f>
        <v>3.1565285981582702E-2</v>
      </c>
      <c r="Y7" s="558">
        <f>Y6/X6-1</f>
        <v>2.0694499397614363E-2</v>
      </c>
      <c r="Z7" s="558">
        <f>Z6/Y6-1</f>
        <v>1.4647595320435247E-2</v>
      </c>
      <c r="AA7" s="558">
        <f>AA6/Z6-1</f>
        <v>1.6221877857286904E-2</v>
      </c>
      <c r="AB7" s="558">
        <f t="shared" ref="AB7:AD7" si="1">AB6/AA6-1</f>
        <v>1.1869762097864722E-3</v>
      </c>
      <c r="AC7" s="558">
        <f t="shared" si="1"/>
        <v>1.2615128872612624E-2</v>
      </c>
      <c r="AD7" s="558">
        <f t="shared" si="1"/>
        <v>2.1303545313261729E-2</v>
      </c>
      <c r="AE7" s="257"/>
    </row>
    <row r="8" spans="1:31" x14ac:dyDescent="0.25">
      <c r="C8" s="269"/>
      <c r="J8" s="559"/>
      <c r="K8" s="559"/>
      <c r="L8" s="559"/>
      <c r="M8" s="560"/>
      <c r="N8" s="560"/>
      <c r="O8" s="560"/>
      <c r="P8" s="560"/>
      <c r="Q8" s="560"/>
      <c r="R8" s="560"/>
      <c r="S8" s="560"/>
      <c r="T8" s="560"/>
      <c r="U8" s="560"/>
      <c r="V8" s="560"/>
      <c r="W8" s="560"/>
      <c r="X8" s="561"/>
      <c r="Y8" s="562"/>
      <c r="Z8" s="563"/>
      <c r="AE8" s="257"/>
    </row>
    <row r="9" spans="1:31" s="263" customFormat="1" x14ac:dyDescent="0.2">
      <c r="B9" s="555" t="s">
        <v>444</v>
      </c>
      <c r="C9" s="564">
        <v>116.3</v>
      </c>
      <c r="D9" s="564">
        <v>116.5</v>
      </c>
      <c r="E9" s="564">
        <v>117.2</v>
      </c>
      <c r="F9" s="564">
        <v>118.9</v>
      </c>
      <c r="G9" s="564">
        <v>120.4</v>
      </c>
      <c r="H9" s="564">
        <v>124.7</v>
      </c>
      <c r="I9" s="564">
        <v>127.7</v>
      </c>
      <c r="J9" s="564">
        <v>127.6</v>
      </c>
      <c r="K9" s="564">
        <v>124.4</v>
      </c>
      <c r="L9" s="564">
        <v>125.5</v>
      </c>
      <c r="M9" s="564">
        <v>132.69999999999999</v>
      </c>
      <c r="N9" s="564">
        <v>134.19999999999999</v>
      </c>
      <c r="O9" s="564">
        <v>131.1</v>
      </c>
      <c r="P9" s="564">
        <v>138.1</v>
      </c>
      <c r="Q9" s="564">
        <v>146.69999999999999</v>
      </c>
      <c r="R9" s="564">
        <v>157.4</v>
      </c>
      <c r="S9" s="564">
        <v>164.7</v>
      </c>
      <c r="T9" s="564">
        <v>172.6</v>
      </c>
      <c r="U9" s="564">
        <v>189.6</v>
      </c>
      <c r="V9" s="564">
        <v>172.9</v>
      </c>
      <c r="W9" s="564">
        <v>184.7</v>
      </c>
      <c r="X9" s="564">
        <v>201</v>
      </c>
      <c r="Y9" s="564">
        <v>202.2</v>
      </c>
      <c r="Z9" s="564">
        <v>203.4</v>
      </c>
      <c r="AA9" s="564">
        <v>205.3</v>
      </c>
      <c r="AB9" s="564">
        <v>190.4</v>
      </c>
      <c r="AC9" s="564">
        <v>185.4</v>
      </c>
      <c r="AD9" s="564">
        <v>193.5</v>
      </c>
      <c r="AE9" s="250"/>
    </row>
    <row r="10" spans="1:31" x14ac:dyDescent="0.25">
      <c r="B10" s="557" t="s">
        <v>445</v>
      </c>
      <c r="C10" s="269"/>
      <c r="D10" s="314">
        <f t="shared" ref="D10:W10" si="2">D9/C9-1</f>
        <v>1.7196904557179593E-3</v>
      </c>
      <c r="E10" s="314">
        <f t="shared" si="2"/>
        <v>6.0085836909871126E-3</v>
      </c>
      <c r="F10" s="314">
        <f t="shared" si="2"/>
        <v>1.4505119453924964E-2</v>
      </c>
      <c r="G10" s="314">
        <f t="shared" si="2"/>
        <v>1.2615643397813292E-2</v>
      </c>
      <c r="H10" s="314">
        <f t="shared" si="2"/>
        <v>3.5714285714285587E-2</v>
      </c>
      <c r="I10" s="314">
        <f t="shared" si="2"/>
        <v>2.4057738572574205E-2</v>
      </c>
      <c r="J10" s="314">
        <f t="shared" si="2"/>
        <v>-7.8308535630389198E-4</v>
      </c>
      <c r="K10" s="314">
        <f t="shared" si="2"/>
        <v>-2.5078369905956022E-2</v>
      </c>
      <c r="L10" s="314">
        <f t="shared" si="2"/>
        <v>8.8424437299035041E-3</v>
      </c>
      <c r="M10" s="314">
        <f t="shared" si="2"/>
        <v>5.7370517928286846E-2</v>
      </c>
      <c r="N10" s="314">
        <f t="shared" si="2"/>
        <v>1.1303692539562871E-2</v>
      </c>
      <c r="O10" s="314">
        <f t="shared" si="2"/>
        <v>-2.3099850968703373E-2</v>
      </c>
      <c r="P10" s="314">
        <f t="shared" si="2"/>
        <v>5.3394355453852071E-2</v>
      </c>
      <c r="Q10" s="314">
        <f t="shared" si="2"/>
        <v>6.2273714699493166E-2</v>
      </c>
      <c r="R10" s="314">
        <f t="shared" si="2"/>
        <v>7.2937968643490336E-2</v>
      </c>
      <c r="S10" s="314">
        <f t="shared" si="2"/>
        <v>4.6378653113087642E-2</v>
      </c>
      <c r="T10" s="314">
        <f t="shared" si="2"/>
        <v>4.7965998785670871E-2</v>
      </c>
      <c r="U10" s="314">
        <f t="shared" si="2"/>
        <v>9.8493626882966367E-2</v>
      </c>
      <c r="V10" s="314">
        <f t="shared" si="2"/>
        <v>-8.8080168776371259E-2</v>
      </c>
      <c r="W10" s="314">
        <f t="shared" si="2"/>
        <v>6.8247541931752309E-2</v>
      </c>
      <c r="X10" s="565">
        <f>X9/W9-1</f>
        <v>8.8251218191662151E-2</v>
      </c>
      <c r="Y10" s="565">
        <f>Y9/X9-1</f>
        <v>5.9701492537311829E-3</v>
      </c>
      <c r="Z10" s="565">
        <f>Z9/Y9-1</f>
        <v>5.9347181008901906E-3</v>
      </c>
      <c r="AA10" s="565">
        <f>AA9/Z9-1</f>
        <v>9.3411996066863345E-3</v>
      </c>
      <c r="AB10" s="565">
        <f t="shared" ref="AB10:AD10" si="3">AB9/AA9-1</f>
        <v>-7.2576716999512958E-2</v>
      </c>
      <c r="AC10" s="565">
        <f t="shared" si="3"/>
        <v>-2.626050420168069E-2</v>
      </c>
      <c r="AD10" s="565">
        <f t="shared" si="3"/>
        <v>4.3689320388349495E-2</v>
      </c>
      <c r="AE10" s="257"/>
    </row>
    <row r="11" spans="1:31" x14ac:dyDescent="0.25">
      <c r="C11" s="269"/>
      <c r="X11" s="263"/>
      <c r="Y11" s="566"/>
      <c r="AE11" s="257"/>
    </row>
    <row r="12" spans="1:31" x14ac:dyDescent="0.25">
      <c r="B12" s="555" t="s">
        <v>446</v>
      </c>
      <c r="C12" s="269"/>
      <c r="N12" s="272"/>
      <c r="O12" s="272"/>
      <c r="P12" s="272"/>
      <c r="Q12" s="272"/>
      <c r="R12" s="272"/>
      <c r="S12" s="272"/>
      <c r="T12" s="272"/>
      <c r="U12" s="272"/>
      <c r="V12" s="272"/>
      <c r="W12" s="272"/>
      <c r="X12" s="272"/>
      <c r="Y12" s="272"/>
      <c r="Z12" s="272"/>
      <c r="AA12" s="272"/>
      <c r="AB12" s="272"/>
      <c r="AC12" s="272"/>
      <c r="AD12" s="272"/>
      <c r="AE12" s="272"/>
    </row>
    <row r="13" spans="1:31" x14ac:dyDescent="0.25">
      <c r="B13" s="555" t="s">
        <v>447</v>
      </c>
      <c r="C13" s="269"/>
      <c r="N13" s="272"/>
      <c r="O13" s="272"/>
      <c r="P13" s="272"/>
      <c r="Q13" s="272"/>
      <c r="R13" s="272"/>
      <c r="S13" s="272"/>
      <c r="T13" s="272"/>
      <c r="U13" s="272"/>
      <c r="V13" s="272"/>
      <c r="W13" s="272"/>
      <c r="X13" s="277"/>
      <c r="Y13" s="566"/>
      <c r="AE13" s="257"/>
    </row>
    <row r="14" spans="1:31" x14ac:dyDescent="0.25">
      <c r="B14" s="381" t="s">
        <v>448</v>
      </c>
      <c r="C14" s="568">
        <v>88.6</v>
      </c>
      <c r="D14" s="568">
        <v>88.3</v>
      </c>
      <c r="E14" s="568">
        <v>89</v>
      </c>
      <c r="F14" s="568">
        <v>89.3</v>
      </c>
      <c r="G14" s="568">
        <v>90.1</v>
      </c>
      <c r="H14" s="568">
        <v>90.1</v>
      </c>
      <c r="I14" s="568">
        <v>90.1</v>
      </c>
      <c r="J14" s="568">
        <v>90.1</v>
      </c>
      <c r="K14" s="568">
        <v>91.8</v>
      </c>
      <c r="L14" s="568">
        <v>93</v>
      </c>
      <c r="M14" s="568">
        <v>93.5</v>
      </c>
      <c r="N14" s="568">
        <v>94.6</v>
      </c>
      <c r="O14" s="568">
        <v>96.8</v>
      </c>
      <c r="P14" s="568">
        <v>97.5</v>
      </c>
      <c r="Q14" s="568">
        <v>99.4</v>
      </c>
      <c r="R14" s="568">
        <v>99.7</v>
      </c>
      <c r="S14" s="568">
        <v>99.2</v>
      </c>
      <c r="T14" s="568">
        <v>99.8</v>
      </c>
      <c r="U14" s="568">
        <v>99.2</v>
      </c>
      <c r="V14" s="568">
        <v>101.7</v>
      </c>
      <c r="W14" s="568">
        <v>101.1</v>
      </c>
      <c r="X14" s="569">
        <v>100.4</v>
      </c>
      <c r="Y14" s="569">
        <v>99.7</v>
      </c>
      <c r="Z14" s="569">
        <v>100.1</v>
      </c>
      <c r="AA14" s="569">
        <v>100.4</v>
      </c>
      <c r="AB14" s="569">
        <v>103</v>
      </c>
      <c r="AC14" s="569">
        <v>104.1</v>
      </c>
      <c r="AD14" s="569">
        <v>104.1</v>
      </c>
      <c r="AE14" s="257"/>
    </row>
    <row r="15" spans="1:31" x14ac:dyDescent="0.25">
      <c r="B15" s="381" t="s">
        <v>449</v>
      </c>
      <c r="C15" s="568">
        <v>88.6</v>
      </c>
      <c r="D15" s="568">
        <v>88.6</v>
      </c>
      <c r="E15" s="568">
        <v>89</v>
      </c>
      <c r="F15" s="568">
        <v>89.5</v>
      </c>
      <c r="G15" s="568">
        <v>90.1</v>
      </c>
      <c r="H15" s="568">
        <v>90</v>
      </c>
      <c r="I15" s="568">
        <v>90.1</v>
      </c>
      <c r="J15" s="568">
        <v>90.5</v>
      </c>
      <c r="K15" s="568">
        <v>92.1</v>
      </c>
      <c r="L15" s="568">
        <v>93.2</v>
      </c>
      <c r="M15" s="568">
        <v>93.8</v>
      </c>
      <c r="N15" s="568">
        <v>94.5</v>
      </c>
      <c r="O15" s="568">
        <v>97.1</v>
      </c>
      <c r="P15" s="568">
        <v>98.5</v>
      </c>
      <c r="Q15" s="568">
        <v>99.1</v>
      </c>
      <c r="R15" s="568">
        <v>99.7</v>
      </c>
      <c r="S15" s="568">
        <v>98.5</v>
      </c>
      <c r="T15" s="568">
        <v>99.2</v>
      </c>
      <c r="U15" s="568">
        <v>97.4</v>
      </c>
      <c r="V15" s="568">
        <v>100.6</v>
      </c>
      <c r="W15" s="568">
        <v>101.4</v>
      </c>
      <c r="X15" s="569">
        <v>100</v>
      </c>
      <c r="Y15" s="569">
        <v>100.2</v>
      </c>
      <c r="Z15" s="569">
        <v>100.3</v>
      </c>
      <c r="AA15" s="569">
        <v>100.3</v>
      </c>
      <c r="AB15" s="569">
        <v>102.1</v>
      </c>
      <c r="AC15" s="569">
        <v>103.5</v>
      </c>
      <c r="AD15" s="569">
        <v>104.2</v>
      </c>
      <c r="AE15" s="257"/>
    </row>
    <row r="16" spans="1:31" x14ac:dyDescent="0.25">
      <c r="B16" s="381" t="s">
        <v>450</v>
      </c>
      <c r="C16" s="568">
        <v>88</v>
      </c>
      <c r="D16" s="568">
        <v>88.8</v>
      </c>
      <c r="E16" s="568">
        <v>89.3</v>
      </c>
      <c r="F16" s="568">
        <v>90</v>
      </c>
      <c r="G16" s="568">
        <v>90.1</v>
      </c>
      <c r="H16" s="568">
        <v>90.3</v>
      </c>
      <c r="I16" s="568">
        <v>90.1</v>
      </c>
      <c r="J16" s="568">
        <v>90.8</v>
      </c>
      <c r="K16" s="568">
        <v>92.8</v>
      </c>
      <c r="L16" s="568">
        <v>93.2</v>
      </c>
      <c r="M16" s="568">
        <v>94</v>
      </c>
      <c r="N16" s="568">
        <v>95.5</v>
      </c>
      <c r="O16" s="568">
        <v>97.3</v>
      </c>
      <c r="P16" s="568">
        <v>98.8</v>
      </c>
      <c r="Q16" s="568">
        <v>100</v>
      </c>
      <c r="R16" s="568">
        <v>98.4</v>
      </c>
      <c r="S16" s="568">
        <v>99.6</v>
      </c>
      <c r="T16" s="568">
        <v>100.1</v>
      </c>
      <c r="U16" s="568">
        <v>98.2</v>
      </c>
      <c r="V16" s="568">
        <v>100.9</v>
      </c>
      <c r="W16" s="568">
        <v>101.7</v>
      </c>
      <c r="X16" s="569">
        <v>99.9</v>
      </c>
      <c r="Y16" s="569">
        <v>99.8</v>
      </c>
      <c r="Z16" s="569">
        <v>100.5</v>
      </c>
      <c r="AA16" s="569">
        <v>101.1</v>
      </c>
      <c r="AB16" s="569">
        <v>103.1</v>
      </c>
      <c r="AC16" s="569">
        <v>103.9</v>
      </c>
      <c r="AD16" s="569">
        <v>104.2</v>
      </c>
      <c r="AE16" s="257"/>
    </row>
    <row r="17" spans="2:34" x14ac:dyDescent="0.25">
      <c r="B17" s="381" t="s">
        <v>451</v>
      </c>
      <c r="C17" s="568">
        <v>87.9</v>
      </c>
      <c r="D17" s="568">
        <v>88.9</v>
      </c>
      <c r="E17" s="568">
        <v>89.3</v>
      </c>
      <c r="F17" s="568">
        <v>90.1</v>
      </c>
      <c r="G17" s="568">
        <v>90.3</v>
      </c>
      <c r="H17" s="568">
        <v>90.5</v>
      </c>
      <c r="I17" s="568">
        <v>90.1</v>
      </c>
      <c r="J17" s="568">
        <v>91.5</v>
      </c>
      <c r="K17" s="568">
        <v>93.2</v>
      </c>
      <c r="L17" s="568">
        <v>93.8</v>
      </c>
      <c r="M17" s="568">
        <v>94.5</v>
      </c>
      <c r="N17" s="568">
        <v>97</v>
      </c>
      <c r="O17" s="568">
        <v>97.9</v>
      </c>
      <c r="P17" s="568">
        <v>99.8</v>
      </c>
      <c r="Q17" s="568">
        <v>100.3</v>
      </c>
      <c r="R17" s="569">
        <v>100</v>
      </c>
      <c r="S17" s="568">
        <v>100.8</v>
      </c>
      <c r="T17" s="568">
        <v>100</v>
      </c>
      <c r="U17" s="568">
        <v>102.5</v>
      </c>
      <c r="V17" s="568">
        <v>101.2</v>
      </c>
      <c r="W17" s="568">
        <v>101.7</v>
      </c>
      <c r="X17" s="569">
        <v>100.7</v>
      </c>
      <c r="Y17" s="569">
        <v>100.9</v>
      </c>
      <c r="Z17" s="569">
        <v>101.3</v>
      </c>
      <c r="AA17" s="569">
        <v>102.8</v>
      </c>
      <c r="AB17" s="569">
        <v>104.1</v>
      </c>
      <c r="AC17" s="569">
        <v>104.3</v>
      </c>
      <c r="AD17" s="569">
        <v>104.8</v>
      </c>
      <c r="AE17" s="257"/>
    </row>
    <row r="18" spans="2:34" s="272" customFormat="1" x14ac:dyDescent="0.25">
      <c r="B18" s="570" t="s">
        <v>452</v>
      </c>
      <c r="C18" s="571">
        <f t="shared" ref="C18:M18" si="4">AVERAGE(C14:C17)</f>
        <v>88.275000000000006</v>
      </c>
      <c r="D18" s="571">
        <f t="shared" si="4"/>
        <v>88.65</v>
      </c>
      <c r="E18" s="571">
        <f t="shared" si="4"/>
        <v>89.15</v>
      </c>
      <c r="F18" s="571">
        <f t="shared" si="4"/>
        <v>89.724999999999994</v>
      </c>
      <c r="G18" s="571">
        <f t="shared" si="4"/>
        <v>90.149999999999991</v>
      </c>
      <c r="H18" s="571">
        <f t="shared" si="4"/>
        <v>90.224999999999994</v>
      </c>
      <c r="I18" s="571">
        <f t="shared" si="4"/>
        <v>90.1</v>
      </c>
      <c r="J18" s="571">
        <f t="shared" si="4"/>
        <v>90.724999999999994</v>
      </c>
      <c r="K18" s="571">
        <f t="shared" si="4"/>
        <v>92.474999999999994</v>
      </c>
      <c r="L18" s="571">
        <f t="shared" si="4"/>
        <v>93.3</v>
      </c>
      <c r="M18" s="571">
        <f t="shared" si="4"/>
        <v>93.95</v>
      </c>
      <c r="N18" s="571">
        <f>AVERAGE(N14:N17)</f>
        <v>95.4</v>
      </c>
      <c r="O18" s="571">
        <f t="shared" ref="O18:AD18" si="5">AVERAGE(O14:O17)</f>
        <v>97.275000000000006</v>
      </c>
      <c r="P18" s="571">
        <f t="shared" si="5"/>
        <v>98.65</v>
      </c>
      <c r="Q18" s="571">
        <f t="shared" si="5"/>
        <v>99.7</v>
      </c>
      <c r="R18" s="571">
        <f t="shared" si="5"/>
        <v>99.45</v>
      </c>
      <c r="S18" s="571">
        <f t="shared" si="5"/>
        <v>99.524999999999991</v>
      </c>
      <c r="T18" s="572">
        <f t="shared" si="5"/>
        <v>99.775000000000006</v>
      </c>
      <c r="U18" s="572">
        <f t="shared" si="5"/>
        <v>99.325000000000003</v>
      </c>
      <c r="V18" s="572">
        <f t="shared" si="5"/>
        <v>101.10000000000001</v>
      </c>
      <c r="W18" s="572">
        <f t="shared" si="5"/>
        <v>101.47499999999999</v>
      </c>
      <c r="X18" s="572">
        <f t="shared" si="5"/>
        <v>100.25</v>
      </c>
      <c r="Y18" s="572">
        <f t="shared" si="5"/>
        <v>100.15</v>
      </c>
      <c r="Z18" s="572">
        <f t="shared" si="5"/>
        <v>100.55</v>
      </c>
      <c r="AA18" s="572">
        <f t="shared" si="5"/>
        <v>101.14999999999999</v>
      </c>
      <c r="AB18" s="572">
        <f t="shared" si="5"/>
        <v>103.07499999999999</v>
      </c>
      <c r="AC18" s="572">
        <f t="shared" si="5"/>
        <v>103.95</v>
      </c>
      <c r="AD18" s="572">
        <f t="shared" si="5"/>
        <v>104.325</v>
      </c>
      <c r="AE18" s="262"/>
    </row>
    <row r="19" spans="2:34" x14ac:dyDescent="0.25">
      <c r="B19" s="557" t="s">
        <v>453</v>
      </c>
      <c r="C19" s="269"/>
      <c r="X19" s="263"/>
      <c r="Y19" s="566"/>
      <c r="AE19" s="257"/>
    </row>
    <row r="20" spans="2:34" s="272" customFormat="1" x14ac:dyDescent="0.25">
      <c r="B20" s="573"/>
      <c r="C20" s="574"/>
      <c r="D20" s="269"/>
      <c r="E20" s="269"/>
      <c r="F20" s="269"/>
      <c r="G20" s="269"/>
      <c r="H20" s="269"/>
      <c r="I20" s="269"/>
      <c r="J20" s="269"/>
      <c r="K20" s="269"/>
      <c r="L20" s="269"/>
      <c r="M20" s="258"/>
      <c r="N20" s="258"/>
      <c r="O20" s="258"/>
      <c r="Y20" s="277"/>
      <c r="Z20" s="567"/>
      <c r="AE20" s="262"/>
    </row>
    <row r="21" spans="2:34" hidden="1" outlineLevel="1" x14ac:dyDescent="0.25">
      <c r="B21" s="575" t="s">
        <v>454</v>
      </c>
      <c r="C21" s="576"/>
      <c r="E21" s="576"/>
      <c r="F21" s="576"/>
      <c r="G21" s="576"/>
      <c r="H21" s="576"/>
      <c r="I21" s="576"/>
      <c r="J21" s="576"/>
      <c r="K21" s="576"/>
      <c r="L21" s="576"/>
      <c r="M21" s="576"/>
      <c r="N21" s="576"/>
      <c r="O21" s="576"/>
      <c r="P21" s="576"/>
      <c r="Q21" s="576"/>
      <c r="R21" s="576"/>
      <c r="S21" s="576"/>
      <c r="T21" s="576"/>
      <c r="U21" s="576"/>
      <c r="V21" s="576"/>
      <c r="W21" s="576"/>
      <c r="X21" s="576"/>
      <c r="Y21" s="576"/>
      <c r="Z21" s="576"/>
      <c r="AE21" s="257"/>
      <c r="AH21" s="272"/>
    </row>
    <row r="22" spans="2:34" hidden="1" outlineLevel="1" x14ac:dyDescent="0.25">
      <c r="B22" s="577" t="s">
        <v>455</v>
      </c>
      <c r="AE22" s="257"/>
    </row>
    <row r="23" spans="2:34" hidden="1" outlineLevel="1" x14ac:dyDescent="0.25">
      <c r="B23" s="578" t="s">
        <v>456</v>
      </c>
      <c r="C23" s="575"/>
      <c r="D23" s="562">
        <f>D24/C24-1</f>
        <v>3.3830158156774814E-2</v>
      </c>
      <c r="E23" s="562">
        <f t="shared" ref="E23:AD23" si="6">E24/D24-1</f>
        <v>2.2787694644891721E-2</v>
      </c>
      <c r="F23" s="562">
        <f t="shared" si="6"/>
        <v>2.369105087263268E-2</v>
      </c>
      <c r="G23" s="562">
        <f t="shared" si="6"/>
        <v>2.1358096343586652E-2</v>
      </c>
      <c r="H23" s="562">
        <f t="shared" si="6"/>
        <v>2.0968291851346743E-2</v>
      </c>
      <c r="I23" s="562">
        <f t="shared" si="6"/>
        <v>1.8297434184894712E-2</v>
      </c>
      <c r="J23" s="562">
        <f t="shared" si="6"/>
        <v>1.7244442015222017E-2</v>
      </c>
      <c r="K23" s="562">
        <f t="shared" si="6"/>
        <v>1.1256632413191081E-2</v>
      </c>
      <c r="L23" s="562">
        <f t="shared" si="6"/>
        <v>1.4438850736554043E-2</v>
      </c>
      <c r="M23" s="562">
        <f t="shared" si="6"/>
        <v>2.2364802933088956E-2</v>
      </c>
      <c r="N23" s="562">
        <f t="shared" si="6"/>
        <v>2.1926791157560466E-2</v>
      </c>
      <c r="O23" s="562">
        <f t="shared" si="6"/>
        <v>1.5816518360696863E-2</v>
      </c>
      <c r="P23" s="562">
        <f t="shared" si="6"/>
        <v>1.8568326506440247E-2</v>
      </c>
      <c r="Q23" s="562">
        <f t="shared" si="6"/>
        <v>2.6926850539627178E-2</v>
      </c>
      <c r="R23" s="562">
        <f t="shared" si="6"/>
        <v>3.1151214909176828E-2</v>
      </c>
      <c r="S23" s="562">
        <f t="shared" si="6"/>
        <v>3.0255888173322143E-2</v>
      </c>
      <c r="T23" s="562">
        <f t="shared" si="6"/>
        <v>2.6869184820020875E-2</v>
      </c>
      <c r="U23" s="562">
        <f t="shared" si="6"/>
        <v>1.9451592673485729E-2</v>
      </c>
      <c r="V23" s="562">
        <f t="shared" si="6"/>
        <v>7.6258153470860623E-3</v>
      </c>
      <c r="W23" s="562">
        <f t="shared" si="6"/>
        <v>1.165214096248568E-2</v>
      </c>
      <c r="X23" s="562">
        <f t="shared" si="6"/>
        <v>2.0882105066017287E-2</v>
      </c>
      <c r="Y23" s="562">
        <f t="shared" si="6"/>
        <v>1.918098615952224E-2</v>
      </c>
      <c r="Z23" s="562">
        <f t="shared" si="6"/>
        <v>1.7549999999999955E-2</v>
      </c>
      <c r="AA23" s="562">
        <f t="shared" si="6"/>
        <v>1.8917989287995818E-2</v>
      </c>
      <c r="AB23" s="562">
        <f t="shared" si="6"/>
        <v>1.0696373456789976E-2</v>
      </c>
      <c r="AC23" s="562">
        <f t="shared" si="6"/>
        <v>1.0936262393953511E-2</v>
      </c>
      <c r="AD23" s="562">
        <f t="shared" si="6"/>
        <v>1.9002218341435784E-2</v>
      </c>
      <c r="AE23" s="257"/>
      <c r="AH23" s="579"/>
    </row>
    <row r="24" spans="2:34" s="272" customFormat="1" hidden="1" outlineLevel="1" x14ac:dyDescent="0.2">
      <c r="B24" s="580" t="s">
        <v>457</v>
      </c>
      <c r="C24" s="581">
        <v>63.670999999999999</v>
      </c>
      <c r="D24" s="581">
        <v>65.825000000000003</v>
      </c>
      <c r="E24" s="581">
        <v>67.325000000000003</v>
      </c>
      <c r="F24" s="581">
        <v>68.92</v>
      </c>
      <c r="G24" s="581">
        <v>70.391999999999996</v>
      </c>
      <c r="H24" s="581">
        <v>71.867999999999995</v>
      </c>
      <c r="I24" s="581">
        <v>73.183000000000007</v>
      </c>
      <c r="J24" s="581">
        <v>74.444999999999993</v>
      </c>
      <c r="K24" s="581">
        <v>75.283000000000001</v>
      </c>
      <c r="L24" s="581">
        <v>76.37</v>
      </c>
      <c r="M24" s="581">
        <v>78.078000000000003</v>
      </c>
      <c r="N24" s="581">
        <v>79.790000000000006</v>
      </c>
      <c r="O24" s="581">
        <v>81.052000000000007</v>
      </c>
      <c r="P24" s="581">
        <v>82.557000000000002</v>
      </c>
      <c r="Q24" s="581">
        <v>84.78</v>
      </c>
      <c r="R24" s="581">
        <v>87.421000000000006</v>
      </c>
      <c r="S24" s="581">
        <v>90.066000000000003</v>
      </c>
      <c r="T24" s="581">
        <v>92.486000000000004</v>
      </c>
      <c r="U24" s="581">
        <v>94.284999999999997</v>
      </c>
      <c r="V24" s="581">
        <v>95.004000000000005</v>
      </c>
      <c r="W24" s="581">
        <v>96.111000000000004</v>
      </c>
      <c r="X24" s="581">
        <v>98.117999999999995</v>
      </c>
      <c r="Y24" s="581">
        <v>100</v>
      </c>
      <c r="Z24" s="581">
        <v>101.755</v>
      </c>
      <c r="AA24" s="581">
        <v>103.68</v>
      </c>
      <c r="AB24" s="582">
        <v>104.789</v>
      </c>
      <c r="AC24" s="581">
        <v>105.935</v>
      </c>
      <c r="AD24" s="583">
        <v>107.94799999999999</v>
      </c>
      <c r="AE24" s="262"/>
      <c r="AH24" s="584"/>
    </row>
    <row r="25" spans="2:34" hidden="1" outlineLevel="1" x14ac:dyDescent="0.2">
      <c r="B25" s="585" t="s">
        <v>458</v>
      </c>
      <c r="C25" s="586">
        <v>63.354999999999997</v>
      </c>
      <c r="D25" s="586">
        <v>65.472999999999999</v>
      </c>
      <c r="E25" s="586">
        <v>67.218000000000004</v>
      </c>
      <c r="F25" s="586">
        <v>68.891999999999996</v>
      </c>
      <c r="G25" s="586">
        <v>70.33</v>
      </c>
      <c r="H25" s="586">
        <v>71.811000000000007</v>
      </c>
      <c r="I25" s="586">
        <v>73.346000000000004</v>
      </c>
      <c r="J25" s="586">
        <v>74.623000000000005</v>
      </c>
      <c r="K25" s="586">
        <v>75.215999999999994</v>
      </c>
      <c r="L25" s="586">
        <v>76.337999999999994</v>
      </c>
      <c r="M25" s="586">
        <v>78.234999999999999</v>
      </c>
      <c r="N25" s="586">
        <v>79.738</v>
      </c>
      <c r="O25" s="586">
        <v>80.789000000000001</v>
      </c>
      <c r="P25" s="586">
        <v>82.358000000000004</v>
      </c>
      <c r="Q25" s="586">
        <v>84.411000000000001</v>
      </c>
      <c r="R25" s="586">
        <v>86.811999999999998</v>
      </c>
      <c r="S25" s="586">
        <v>89.174000000000007</v>
      </c>
      <c r="T25" s="586">
        <v>91.438000000000002</v>
      </c>
      <c r="U25" s="586">
        <v>94.18</v>
      </c>
      <c r="V25" s="586">
        <v>94.093999999999994</v>
      </c>
      <c r="W25" s="586">
        <v>95.704999999999998</v>
      </c>
      <c r="X25" s="586">
        <v>98.131</v>
      </c>
      <c r="Y25" s="586">
        <v>100</v>
      </c>
      <c r="Z25" s="586">
        <v>101.346</v>
      </c>
      <c r="AA25" s="586">
        <v>102.86799999999999</v>
      </c>
      <c r="AB25" s="566">
        <v>103.126</v>
      </c>
      <c r="AC25" s="586">
        <v>104.235</v>
      </c>
      <c r="AD25" s="587">
        <v>106.07299999999999</v>
      </c>
      <c r="AE25" s="257"/>
      <c r="AH25" s="584"/>
    </row>
    <row r="26" spans="2:34" hidden="1" outlineLevel="1" x14ac:dyDescent="0.2">
      <c r="B26" s="585" t="s">
        <v>459</v>
      </c>
      <c r="C26" s="586">
        <v>81.927000000000007</v>
      </c>
      <c r="D26" s="586">
        <v>83.93</v>
      </c>
      <c r="E26" s="586">
        <v>84.942999999999998</v>
      </c>
      <c r="F26" s="586">
        <v>85.680999999999997</v>
      </c>
      <c r="G26" s="586">
        <v>86.552000000000007</v>
      </c>
      <c r="H26" s="586">
        <v>87.361000000000004</v>
      </c>
      <c r="I26" s="586">
        <v>88.320999999999998</v>
      </c>
      <c r="J26" s="586">
        <v>88.218999999999994</v>
      </c>
      <c r="K26" s="586">
        <v>86.893000000000001</v>
      </c>
      <c r="L26" s="586">
        <v>87.349000000000004</v>
      </c>
      <c r="M26" s="586">
        <v>89.081999999999994</v>
      </c>
      <c r="N26" s="586">
        <v>89.015000000000001</v>
      </c>
      <c r="O26" s="586">
        <v>88.165999999999997</v>
      </c>
      <c r="P26" s="586">
        <v>88.054000000000002</v>
      </c>
      <c r="Q26" s="586">
        <v>89.292000000000002</v>
      </c>
      <c r="R26" s="586">
        <v>91.084000000000003</v>
      </c>
      <c r="S26" s="586">
        <v>92.305999999999997</v>
      </c>
      <c r="T26" s="586">
        <v>93.331000000000003</v>
      </c>
      <c r="U26" s="586">
        <v>96.122</v>
      </c>
      <c r="V26" s="586">
        <v>93.811999999999998</v>
      </c>
      <c r="W26" s="586">
        <v>95.183000000000007</v>
      </c>
      <c r="X26" s="586">
        <v>98.772999999999996</v>
      </c>
      <c r="Y26" s="586">
        <v>100</v>
      </c>
      <c r="Z26" s="586">
        <v>99.406999999999996</v>
      </c>
      <c r="AA26" s="586">
        <v>98.938999999999993</v>
      </c>
      <c r="AB26" s="566">
        <v>95.888999999999996</v>
      </c>
      <c r="AC26" s="586">
        <v>94.34</v>
      </c>
      <c r="AD26" s="587">
        <v>94.632000000000005</v>
      </c>
      <c r="AE26" s="257"/>
      <c r="AH26" s="584"/>
    </row>
    <row r="27" spans="2:34" hidden="1" outlineLevel="1" x14ac:dyDescent="0.2">
      <c r="B27" s="585" t="s">
        <v>460</v>
      </c>
      <c r="C27" s="586">
        <v>131.935</v>
      </c>
      <c r="D27" s="586">
        <v>133.86799999999999</v>
      </c>
      <c r="E27" s="586">
        <v>134.79300000000001</v>
      </c>
      <c r="F27" s="586">
        <v>136.12</v>
      </c>
      <c r="G27" s="586">
        <v>138.78399999999999</v>
      </c>
      <c r="H27" s="586">
        <v>139.797</v>
      </c>
      <c r="I27" s="586">
        <v>138.386</v>
      </c>
      <c r="J27" s="586">
        <v>135.364</v>
      </c>
      <c r="K27" s="586">
        <v>131.53800000000001</v>
      </c>
      <c r="L27" s="586">
        <v>127.994</v>
      </c>
      <c r="M27" s="586">
        <v>125.717</v>
      </c>
      <c r="N27" s="586">
        <v>123.254</v>
      </c>
      <c r="O27" s="586">
        <v>120.143</v>
      </c>
      <c r="P27" s="586">
        <v>115.752</v>
      </c>
      <c r="Q27" s="586">
        <v>113.488</v>
      </c>
      <c r="R27" s="586">
        <v>112.309</v>
      </c>
      <c r="S27" s="586">
        <v>110.38800000000001</v>
      </c>
      <c r="T27" s="586">
        <v>108.038</v>
      </c>
      <c r="U27" s="586">
        <v>106.012</v>
      </c>
      <c r="V27" s="586">
        <v>104.02</v>
      </c>
      <c r="W27" s="586">
        <v>102.107</v>
      </c>
      <c r="X27" s="586">
        <v>101.28</v>
      </c>
      <c r="Y27" s="586">
        <v>100</v>
      </c>
      <c r="Z27" s="586">
        <v>97.968000000000004</v>
      </c>
      <c r="AA27" s="586">
        <v>95.495999999999995</v>
      </c>
      <c r="AB27" s="586">
        <v>93.364999999999995</v>
      </c>
      <c r="AC27" s="586">
        <v>91.183000000000007</v>
      </c>
      <c r="AD27" s="587">
        <v>89.135999999999996</v>
      </c>
      <c r="AE27" s="257"/>
      <c r="AH27" s="584"/>
    </row>
    <row r="28" spans="2:34" hidden="1" outlineLevel="1" x14ac:dyDescent="0.2">
      <c r="B28" s="585" t="s">
        <v>461</v>
      </c>
      <c r="C28" s="586">
        <v>63.112000000000002</v>
      </c>
      <c r="D28" s="586">
        <v>64.954999999999998</v>
      </c>
      <c r="E28" s="586">
        <v>65.897999999999996</v>
      </c>
      <c r="F28" s="586">
        <v>66.433999999999997</v>
      </c>
      <c r="G28" s="586">
        <v>66.787999999999997</v>
      </c>
      <c r="H28" s="586">
        <v>67.486000000000004</v>
      </c>
      <c r="I28" s="586">
        <v>69.013999999999996</v>
      </c>
      <c r="J28" s="586">
        <v>69.734999999999999</v>
      </c>
      <c r="K28" s="586">
        <v>69.222999999999999</v>
      </c>
      <c r="L28" s="586">
        <v>70.942999999999998</v>
      </c>
      <c r="M28" s="586">
        <v>73.989999999999995</v>
      </c>
      <c r="N28" s="586">
        <v>74.775999999999996</v>
      </c>
      <c r="O28" s="586">
        <v>74.781000000000006</v>
      </c>
      <c r="P28" s="586">
        <v>76.326999999999998</v>
      </c>
      <c r="Q28" s="586">
        <v>78.97</v>
      </c>
      <c r="R28" s="586">
        <v>81.998000000000005</v>
      </c>
      <c r="S28" s="586">
        <v>84.552999999999997</v>
      </c>
      <c r="T28" s="586">
        <v>87.040999999999997</v>
      </c>
      <c r="U28" s="586">
        <v>91.903999999999996</v>
      </c>
      <c r="V28" s="586">
        <v>89.466999999999999</v>
      </c>
      <c r="W28" s="586">
        <v>92.182000000000002</v>
      </c>
      <c r="X28" s="586">
        <v>97.652000000000001</v>
      </c>
      <c r="Y28" s="586">
        <v>100</v>
      </c>
      <c r="Z28" s="586">
        <v>100.08199999999999</v>
      </c>
      <c r="AA28" s="586">
        <v>100.595</v>
      </c>
      <c r="AB28" s="566">
        <v>97.078999999999994</v>
      </c>
      <c r="AC28" s="586">
        <v>95.867000000000004</v>
      </c>
      <c r="AD28" s="587">
        <v>97.436999999999998</v>
      </c>
      <c r="AE28" s="257"/>
      <c r="AH28" s="584"/>
    </row>
    <row r="29" spans="2:34" hidden="1" outlineLevel="1" x14ac:dyDescent="0.2">
      <c r="B29" s="585" t="s">
        <v>462</v>
      </c>
      <c r="C29" s="586">
        <v>54.845999999999997</v>
      </c>
      <c r="D29" s="586">
        <v>56.991999999999997</v>
      </c>
      <c r="E29" s="586">
        <v>59.018000000000001</v>
      </c>
      <c r="F29" s="586">
        <v>61.058999999999997</v>
      </c>
      <c r="G29" s="586">
        <v>62.719000000000001</v>
      </c>
      <c r="H29" s="586">
        <v>64.471000000000004</v>
      </c>
      <c r="I29" s="586">
        <v>66.239999999999995</v>
      </c>
      <c r="J29" s="586">
        <v>68.106999999999999</v>
      </c>
      <c r="K29" s="586">
        <v>69.549000000000007</v>
      </c>
      <c r="L29" s="586">
        <v>70.97</v>
      </c>
      <c r="M29" s="586">
        <v>72.938000000000002</v>
      </c>
      <c r="N29" s="586">
        <v>75.171000000000006</v>
      </c>
      <c r="O29" s="586">
        <v>77.123000000000005</v>
      </c>
      <c r="P29" s="586">
        <v>79.506</v>
      </c>
      <c r="Q29" s="586">
        <v>81.965000000000003</v>
      </c>
      <c r="R29" s="586">
        <v>84.673000000000002</v>
      </c>
      <c r="S29" s="586">
        <v>87.616</v>
      </c>
      <c r="T29" s="586">
        <v>90.516000000000005</v>
      </c>
      <c r="U29" s="586">
        <v>93.234999999999999</v>
      </c>
      <c r="V29" s="586">
        <v>94.230999999999995</v>
      </c>
      <c r="W29" s="586">
        <v>95.956999999999994</v>
      </c>
      <c r="X29" s="586">
        <v>97.813999999999993</v>
      </c>
      <c r="Y29" s="586">
        <v>100</v>
      </c>
      <c r="Z29" s="586">
        <v>102.316</v>
      </c>
      <c r="AA29" s="586">
        <v>104.852</v>
      </c>
      <c r="AB29" s="566">
        <v>106.82299999999999</v>
      </c>
      <c r="AC29" s="586">
        <v>109.325</v>
      </c>
      <c r="AD29" s="587">
        <v>111.98399999999999</v>
      </c>
      <c r="AE29" s="257"/>
      <c r="AH29" s="584"/>
    </row>
    <row r="30" spans="2:34" hidden="1" outlineLevel="1" x14ac:dyDescent="0.2">
      <c r="B30" s="585" t="s">
        <v>463</v>
      </c>
      <c r="C30" s="586">
        <v>81.227999999999994</v>
      </c>
      <c r="D30" s="586">
        <v>82.683999999999997</v>
      </c>
      <c r="E30" s="586">
        <v>82.671999999999997</v>
      </c>
      <c r="F30" s="586">
        <v>83.641000000000005</v>
      </c>
      <c r="G30" s="586">
        <v>84.908000000000001</v>
      </c>
      <c r="H30" s="586">
        <v>86.263000000000005</v>
      </c>
      <c r="I30" s="586">
        <v>86.227000000000004</v>
      </c>
      <c r="J30" s="586">
        <v>86.239000000000004</v>
      </c>
      <c r="K30" s="586">
        <v>85.706000000000003</v>
      </c>
      <c r="L30" s="586">
        <v>85.825999999999993</v>
      </c>
      <c r="M30" s="586">
        <v>86.861999999999995</v>
      </c>
      <c r="N30" s="586">
        <v>87.367000000000004</v>
      </c>
      <c r="O30" s="586">
        <v>87.927000000000007</v>
      </c>
      <c r="P30" s="586">
        <v>88.503</v>
      </c>
      <c r="Q30" s="586">
        <v>91.156999999999996</v>
      </c>
      <c r="R30" s="586">
        <v>94.912999999999997</v>
      </c>
      <c r="S30" s="586">
        <v>98.13</v>
      </c>
      <c r="T30" s="586">
        <v>99.584999999999994</v>
      </c>
      <c r="U30" s="586">
        <v>100.59699999999999</v>
      </c>
      <c r="V30" s="586">
        <v>99.366</v>
      </c>
      <c r="W30" s="586">
        <v>97.698999999999998</v>
      </c>
      <c r="X30" s="586">
        <v>98.748000000000005</v>
      </c>
      <c r="Y30" s="586">
        <v>100</v>
      </c>
      <c r="Z30" s="586">
        <v>100.876</v>
      </c>
      <c r="AA30" s="586">
        <v>102.959</v>
      </c>
      <c r="AB30" s="566">
        <v>103.873</v>
      </c>
      <c r="AC30" s="586">
        <v>103.914</v>
      </c>
      <c r="AD30" s="587">
        <v>105.36</v>
      </c>
      <c r="AE30" s="257"/>
      <c r="AH30" s="584"/>
    </row>
    <row r="31" spans="2:34" hidden="1" outlineLevel="1" x14ac:dyDescent="0.2">
      <c r="B31" s="585" t="s">
        <v>464</v>
      </c>
      <c r="C31" s="586">
        <v>80.278000000000006</v>
      </c>
      <c r="D31" s="586">
        <v>81.683000000000007</v>
      </c>
      <c r="E31" s="586">
        <v>81.727999999999994</v>
      </c>
      <c r="F31" s="586">
        <v>82.710999999999999</v>
      </c>
      <c r="G31" s="586">
        <v>83.983000000000004</v>
      </c>
      <c r="H31" s="586">
        <v>85.378</v>
      </c>
      <c r="I31" s="586">
        <v>85.45</v>
      </c>
      <c r="J31" s="586">
        <v>85.599000000000004</v>
      </c>
      <c r="K31" s="586">
        <v>85.132999999999996</v>
      </c>
      <c r="L31" s="586">
        <v>85.277000000000001</v>
      </c>
      <c r="M31" s="586">
        <v>86.486000000000004</v>
      </c>
      <c r="N31" s="586">
        <v>87.241</v>
      </c>
      <c r="O31" s="586">
        <v>87.5</v>
      </c>
      <c r="P31" s="586">
        <v>88.265000000000001</v>
      </c>
      <c r="Q31" s="586">
        <v>90.843000000000004</v>
      </c>
      <c r="R31" s="586">
        <v>94.596999999999994</v>
      </c>
      <c r="S31" s="586">
        <v>97.957999999999998</v>
      </c>
      <c r="T31" s="586">
        <v>99.456000000000003</v>
      </c>
      <c r="U31" s="586">
        <v>100.29600000000001</v>
      </c>
      <c r="V31" s="586">
        <v>99.075999999999993</v>
      </c>
      <c r="W31" s="586">
        <v>97.567999999999998</v>
      </c>
      <c r="X31" s="586">
        <v>98.641000000000005</v>
      </c>
      <c r="Y31" s="586">
        <v>100</v>
      </c>
      <c r="Z31" s="586">
        <v>101.09099999999999</v>
      </c>
      <c r="AA31" s="586">
        <v>103.25</v>
      </c>
      <c r="AB31" s="566">
        <v>104.217</v>
      </c>
      <c r="AC31" s="586">
        <v>104.357</v>
      </c>
      <c r="AD31" s="587">
        <v>105.93899999999999</v>
      </c>
      <c r="AE31" s="257"/>
      <c r="AH31" s="584"/>
    </row>
    <row r="32" spans="2:34" hidden="1" outlineLevel="1" x14ac:dyDescent="0.2">
      <c r="B32" s="585" t="s">
        <v>465</v>
      </c>
      <c r="C32" s="586">
        <v>92.516000000000005</v>
      </c>
      <c r="D32" s="586">
        <v>94.266999999999996</v>
      </c>
      <c r="E32" s="586">
        <v>93.96</v>
      </c>
      <c r="F32" s="586">
        <v>94.161000000000001</v>
      </c>
      <c r="G32" s="586">
        <v>94.903999999999996</v>
      </c>
      <c r="H32" s="586">
        <v>95.849000000000004</v>
      </c>
      <c r="I32" s="586">
        <v>95.266999999999996</v>
      </c>
      <c r="J32" s="586">
        <v>94.734999999999999</v>
      </c>
      <c r="K32" s="586">
        <v>93.248000000000005</v>
      </c>
      <c r="L32" s="586">
        <v>92.313999999999993</v>
      </c>
      <c r="M32" s="586">
        <v>92.718000000000004</v>
      </c>
      <c r="N32" s="586">
        <v>92.346000000000004</v>
      </c>
      <c r="O32" s="586">
        <v>91.863</v>
      </c>
      <c r="P32" s="586">
        <v>91.156000000000006</v>
      </c>
      <c r="Q32" s="586">
        <v>92.055000000000007</v>
      </c>
      <c r="R32" s="586">
        <v>94.442999999999998</v>
      </c>
      <c r="S32" s="586">
        <v>96.745000000000005</v>
      </c>
      <c r="T32" s="586">
        <v>98.31</v>
      </c>
      <c r="U32" s="586">
        <v>99.831999999999994</v>
      </c>
      <c r="V32" s="586">
        <v>99.183999999999997</v>
      </c>
      <c r="W32" s="586">
        <v>97.415999999999997</v>
      </c>
      <c r="X32" s="586">
        <v>98.558999999999997</v>
      </c>
      <c r="Y32" s="586">
        <v>100</v>
      </c>
      <c r="Z32" s="586">
        <v>100.251</v>
      </c>
      <c r="AA32" s="586">
        <v>101.565</v>
      </c>
      <c r="AB32" s="566">
        <v>102.081</v>
      </c>
      <c r="AC32" s="586">
        <v>101.282</v>
      </c>
      <c r="AD32" s="587">
        <v>101.962</v>
      </c>
      <c r="AE32" s="257"/>
      <c r="AH32" s="584"/>
    </row>
    <row r="33" spans="2:35" hidden="1" outlineLevel="1" x14ac:dyDescent="0.2">
      <c r="B33" s="585" t="s">
        <v>466</v>
      </c>
      <c r="C33" s="586">
        <v>40.948</v>
      </c>
      <c r="D33" s="586">
        <v>41.689</v>
      </c>
      <c r="E33" s="586">
        <v>41.698999999999998</v>
      </c>
      <c r="F33" s="586">
        <v>42.921999999999997</v>
      </c>
      <c r="G33" s="586">
        <v>44.436999999999998</v>
      </c>
      <c r="H33" s="586">
        <v>46.362000000000002</v>
      </c>
      <c r="I33" s="586">
        <v>47.54</v>
      </c>
      <c r="J33" s="586">
        <v>49.354999999999997</v>
      </c>
      <c r="K33" s="586">
        <v>51.612000000000002</v>
      </c>
      <c r="L33" s="586">
        <v>53.198</v>
      </c>
      <c r="M33" s="586">
        <v>55.283000000000001</v>
      </c>
      <c r="N33" s="586">
        <v>58.177999999999997</v>
      </c>
      <c r="O33" s="586">
        <v>60.603000000000002</v>
      </c>
      <c r="P33" s="586">
        <v>62.768999999999998</v>
      </c>
      <c r="Q33" s="586">
        <v>67.415999999999997</v>
      </c>
      <c r="R33" s="586">
        <v>75.733000000000004</v>
      </c>
      <c r="S33" s="586">
        <v>84.748999999999995</v>
      </c>
      <c r="T33" s="586">
        <v>89.748000000000005</v>
      </c>
      <c r="U33" s="586">
        <v>94.334999999999994</v>
      </c>
      <c r="V33" s="586">
        <v>92.613</v>
      </c>
      <c r="W33" s="586">
        <v>92.006</v>
      </c>
      <c r="X33" s="586">
        <v>95.361999999999995</v>
      </c>
      <c r="Y33" s="586">
        <v>100</v>
      </c>
      <c r="Z33" s="586">
        <v>101.455</v>
      </c>
      <c r="AA33" s="586">
        <v>107.47499999999999</v>
      </c>
      <c r="AB33" s="566">
        <v>109.852</v>
      </c>
      <c r="AC33" s="586">
        <v>110.29600000000001</v>
      </c>
      <c r="AD33" s="587">
        <v>113.12</v>
      </c>
      <c r="AE33" s="257"/>
      <c r="AH33" s="584"/>
    </row>
    <row r="34" spans="2:35" hidden="1" outlineLevel="1" x14ac:dyDescent="0.2">
      <c r="B34" s="585" t="s">
        <v>467</v>
      </c>
      <c r="C34" s="586">
        <v>135.042</v>
      </c>
      <c r="D34" s="586">
        <v>137.33000000000001</v>
      </c>
      <c r="E34" s="586">
        <v>137.12100000000001</v>
      </c>
      <c r="F34" s="586">
        <v>135.518</v>
      </c>
      <c r="G34" s="586">
        <v>135.27699999999999</v>
      </c>
      <c r="H34" s="586">
        <v>133.79599999999999</v>
      </c>
      <c r="I34" s="586">
        <v>130.762</v>
      </c>
      <c r="J34" s="586">
        <v>127.15600000000001</v>
      </c>
      <c r="K34" s="586">
        <v>121.45099999999999</v>
      </c>
      <c r="L34" s="586">
        <v>116.76300000000001</v>
      </c>
      <c r="M34" s="586">
        <v>114.224</v>
      </c>
      <c r="N34" s="586">
        <v>110.858</v>
      </c>
      <c r="O34" s="586">
        <v>108.53100000000001</v>
      </c>
      <c r="P34" s="586">
        <v>105.72499999999999</v>
      </c>
      <c r="Q34" s="586">
        <v>104.84099999999999</v>
      </c>
      <c r="R34" s="586">
        <v>104.598</v>
      </c>
      <c r="S34" s="586">
        <v>103.56</v>
      </c>
      <c r="T34" s="586">
        <v>103.191</v>
      </c>
      <c r="U34" s="586">
        <v>102.542</v>
      </c>
      <c r="V34" s="586">
        <v>103.16800000000001</v>
      </c>
      <c r="W34" s="586">
        <v>99.471000000000004</v>
      </c>
      <c r="X34" s="586">
        <v>99.447000000000003</v>
      </c>
      <c r="Y34" s="586">
        <v>100</v>
      </c>
      <c r="Z34" s="586">
        <v>99.787000000000006</v>
      </c>
      <c r="AA34" s="586">
        <v>99.281999999999996</v>
      </c>
      <c r="AB34" s="566">
        <v>98.742999999999995</v>
      </c>
      <c r="AC34" s="586">
        <v>97.738</v>
      </c>
      <c r="AD34" s="587">
        <v>97.183000000000007</v>
      </c>
      <c r="AE34" s="257"/>
      <c r="AH34" s="584"/>
    </row>
    <row r="35" spans="2:35" hidden="1" outlineLevel="1" x14ac:dyDescent="0.2">
      <c r="B35" s="585" t="s">
        <v>468</v>
      </c>
      <c r="C35" s="586">
        <v>88.147000000000006</v>
      </c>
      <c r="D35" s="586">
        <v>90.271000000000001</v>
      </c>
      <c r="E35" s="586">
        <v>89.373000000000005</v>
      </c>
      <c r="F35" s="586">
        <v>89.998000000000005</v>
      </c>
      <c r="G35" s="586">
        <v>90.468000000000004</v>
      </c>
      <c r="H35" s="586">
        <v>93.134</v>
      </c>
      <c r="I35" s="586">
        <v>93.543999999999997</v>
      </c>
      <c r="J35" s="586">
        <v>94.052000000000007</v>
      </c>
      <c r="K35" s="586">
        <v>93.594999999999999</v>
      </c>
      <c r="L35" s="586">
        <v>95.105000000000004</v>
      </c>
      <c r="M35" s="586">
        <v>97.813999999999993</v>
      </c>
      <c r="N35" s="586">
        <v>97.683999999999997</v>
      </c>
      <c r="O35" s="586">
        <v>96.376000000000005</v>
      </c>
      <c r="P35" s="586">
        <v>95.647000000000006</v>
      </c>
      <c r="Q35" s="586">
        <v>95.334999999999994</v>
      </c>
      <c r="R35" s="586">
        <v>95.951999999999998</v>
      </c>
      <c r="S35" s="586">
        <v>97.087999999999994</v>
      </c>
      <c r="T35" s="586">
        <v>98.284000000000006</v>
      </c>
      <c r="U35" s="586">
        <v>99.834000000000003</v>
      </c>
      <c r="V35" s="586">
        <v>98.588999999999999</v>
      </c>
      <c r="W35" s="586">
        <v>98.305999999999997</v>
      </c>
      <c r="X35" s="586">
        <v>99.516999999999996</v>
      </c>
      <c r="Y35" s="586">
        <v>100</v>
      </c>
      <c r="Z35" s="586">
        <v>100.081</v>
      </c>
      <c r="AA35" s="586">
        <v>100.73399999999999</v>
      </c>
      <c r="AB35" s="566">
        <v>101.51600000000001</v>
      </c>
      <c r="AC35" s="586">
        <v>100.208</v>
      </c>
      <c r="AD35" s="587">
        <v>101.294</v>
      </c>
      <c r="AE35" s="257"/>
      <c r="AH35" s="584"/>
    </row>
    <row r="36" spans="2:35" hidden="1" outlineLevel="1" x14ac:dyDescent="0.2">
      <c r="B36" s="585" t="s">
        <v>469</v>
      </c>
      <c r="C36" s="586">
        <v>56.287999999999997</v>
      </c>
      <c r="D36" s="586">
        <v>57.021000000000001</v>
      </c>
      <c r="E36" s="586">
        <v>57.722999999999999</v>
      </c>
      <c r="F36" s="586">
        <v>60.073999999999998</v>
      </c>
      <c r="G36" s="586">
        <v>62.247</v>
      </c>
      <c r="H36" s="586">
        <v>64.472999999999999</v>
      </c>
      <c r="I36" s="586">
        <v>65.855999999999995</v>
      </c>
      <c r="J36" s="586">
        <v>67.444000000000003</v>
      </c>
      <c r="K36" s="586">
        <v>69.222999999999999</v>
      </c>
      <c r="L36" s="586">
        <v>71.816000000000003</v>
      </c>
      <c r="M36" s="586">
        <v>75.004000000000005</v>
      </c>
      <c r="N36" s="586">
        <v>78.563999999999993</v>
      </c>
      <c r="O36" s="586">
        <v>80.510000000000005</v>
      </c>
      <c r="P36" s="586">
        <v>84.325000000000003</v>
      </c>
      <c r="Q36" s="586">
        <v>90.242999999999995</v>
      </c>
      <c r="R36" s="586">
        <v>96.706000000000003</v>
      </c>
      <c r="S36" s="586">
        <v>102.355</v>
      </c>
      <c r="T36" s="586">
        <v>103.708</v>
      </c>
      <c r="U36" s="586">
        <v>102.249</v>
      </c>
      <c r="V36" s="586">
        <v>98.671000000000006</v>
      </c>
      <c r="W36" s="586">
        <v>98.316999999999993</v>
      </c>
      <c r="X36" s="586">
        <v>99.049000000000007</v>
      </c>
      <c r="Y36" s="586">
        <v>100</v>
      </c>
      <c r="Z36" s="586">
        <v>105.054</v>
      </c>
      <c r="AA36" s="586">
        <v>111.10599999999999</v>
      </c>
      <c r="AB36" s="566">
        <v>114.1</v>
      </c>
      <c r="AC36" s="586">
        <v>118.185</v>
      </c>
      <c r="AD36" s="587">
        <v>123.495</v>
      </c>
      <c r="AE36" s="257"/>
      <c r="AH36" s="584"/>
    </row>
    <row r="37" spans="2:35" hidden="1" outlineLevel="1" x14ac:dyDescent="0.2">
      <c r="B37" s="585" t="s">
        <v>470</v>
      </c>
      <c r="C37" s="588" t="s">
        <v>471</v>
      </c>
      <c r="D37" s="588" t="s">
        <v>471</v>
      </c>
      <c r="E37" s="588" t="s">
        <v>471</v>
      </c>
      <c r="F37" s="588" t="s">
        <v>471</v>
      </c>
      <c r="G37" s="588" t="s">
        <v>471</v>
      </c>
      <c r="H37" s="588" t="s">
        <v>471</v>
      </c>
      <c r="I37" s="588" t="s">
        <v>471</v>
      </c>
      <c r="J37" s="588" t="s">
        <v>471</v>
      </c>
      <c r="K37" s="588" t="s">
        <v>471</v>
      </c>
      <c r="L37" s="588" t="s">
        <v>471</v>
      </c>
      <c r="M37" s="588" t="s">
        <v>471</v>
      </c>
      <c r="N37" s="588" t="s">
        <v>471</v>
      </c>
      <c r="O37" s="588" t="s">
        <v>471</v>
      </c>
      <c r="P37" s="588" t="s">
        <v>471</v>
      </c>
      <c r="Q37" s="588" t="s">
        <v>471</v>
      </c>
      <c r="R37" s="588" t="s">
        <v>471</v>
      </c>
      <c r="S37" s="588" t="s">
        <v>471</v>
      </c>
      <c r="T37" s="588" t="s">
        <v>471</v>
      </c>
      <c r="U37" s="588" t="s">
        <v>471</v>
      </c>
      <c r="V37" s="588" t="s">
        <v>471</v>
      </c>
      <c r="W37" s="588" t="s">
        <v>471</v>
      </c>
      <c r="X37" s="588" t="s">
        <v>471</v>
      </c>
      <c r="Y37" s="588" t="s">
        <v>471</v>
      </c>
      <c r="Z37" s="588" t="s">
        <v>471</v>
      </c>
      <c r="AA37" s="588" t="s">
        <v>471</v>
      </c>
      <c r="AB37" s="589" t="s">
        <v>471</v>
      </c>
      <c r="AC37" s="589" t="s">
        <v>471</v>
      </c>
      <c r="AD37" s="587" t="s">
        <v>471</v>
      </c>
      <c r="AE37" s="257"/>
      <c r="AH37" s="584"/>
    </row>
    <row r="38" spans="2:35" hidden="1" outlineLevel="1" x14ac:dyDescent="0.2">
      <c r="B38" s="585" t="s">
        <v>472</v>
      </c>
      <c r="C38" s="588" t="s">
        <v>471</v>
      </c>
      <c r="D38" s="588" t="s">
        <v>471</v>
      </c>
      <c r="E38" s="588" t="s">
        <v>471</v>
      </c>
      <c r="F38" s="588" t="s">
        <v>471</v>
      </c>
      <c r="G38" s="588" t="s">
        <v>471</v>
      </c>
      <c r="H38" s="588" t="s">
        <v>471</v>
      </c>
      <c r="I38" s="588" t="s">
        <v>471</v>
      </c>
      <c r="J38" s="588" t="s">
        <v>471</v>
      </c>
      <c r="K38" s="588" t="s">
        <v>471</v>
      </c>
      <c r="L38" s="588" t="s">
        <v>471</v>
      </c>
      <c r="M38" s="588" t="s">
        <v>471</v>
      </c>
      <c r="N38" s="588" t="s">
        <v>471</v>
      </c>
      <c r="O38" s="588" t="s">
        <v>471</v>
      </c>
      <c r="P38" s="588" t="s">
        <v>471</v>
      </c>
      <c r="Q38" s="588" t="s">
        <v>471</v>
      </c>
      <c r="R38" s="588" t="s">
        <v>471</v>
      </c>
      <c r="S38" s="588" t="s">
        <v>471</v>
      </c>
      <c r="T38" s="588" t="s">
        <v>471</v>
      </c>
      <c r="U38" s="588" t="s">
        <v>471</v>
      </c>
      <c r="V38" s="588" t="s">
        <v>471</v>
      </c>
      <c r="W38" s="588" t="s">
        <v>471</v>
      </c>
      <c r="X38" s="588" t="s">
        <v>471</v>
      </c>
      <c r="Y38" s="588" t="s">
        <v>471</v>
      </c>
      <c r="Z38" s="588" t="s">
        <v>471</v>
      </c>
      <c r="AA38" s="588" t="s">
        <v>471</v>
      </c>
      <c r="AB38" s="589" t="s">
        <v>471</v>
      </c>
      <c r="AC38" s="589" t="s">
        <v>471</v>
      </c>
      <c r="AD38" s="587" t="s">
        <v>471</v>
      </c>
      <c r="AE38" s="257"/>
      <c r="AH38" s="584"/>
    </row>
    <row r="39" spans="2:35" ht="10.5" hidden="1" customHeight="1" outlineLevel="1" x14ac:dyDescent="0.25">
      <c r="B39" s="585" t="s">
        <v>473</v>
      </c>
      <c r="C39" s="586">
        <v>79.656999999999996</v>
      </c>
      <c r="D39" s="586">
        <v>80.545000000000002</v>
      </c>
      <c r="E39" s="586">
        <v>80.153000000000006</v>
      </c>
      <c r="F39" s="586">
        <v>80.277000000000001</v>
      </c>
      <c r="G39" s="586">
        <v>81.209999999999994</v>
      </c>
      <c r="H39" s="586">
        <v>83.025000000000006</v>
      </c>
      <c r="I39" s="586">
        <v>81.923000000000002</v>
      </c>
      <c r="J39" s="586">
        <v>80.478999999999999</v>
      </c>
      <c r="K39" s="586">
        <v>78.573999999999998</v>
      </c>
      <c r="L39" s="586">
        <v>77.971000000000004</v>
      </c>
      <c r="M39" s="586">
        <v>79.466999999999999</v>
      </c>
      <c r="N39" s="586">
        <v>78.834999999999994</v>
      </c>
      <c r="O39" s="586">
        <v>78.200999999999993</v>
      </c>
      <c r="P39" s="586">
        <v>79.400000000000006</v>
      </c>
      <c r="Q39" s="586">
        <v>82.284000000000006</v>
      </c>
      <c r="R39" s="586">
        <v>85.131</v>
      </c>
      <c r="S39" s="586">
        <v>87.841999999999999</v>
      </c>
      <c r="T39" s="586">
        <v>91.138999999999996</v>
      </c>
      <c r="U39" s="586">
        <v>95.41</v>
      </c>
      <c r="V39" s="586">
        <v>89.694000000000003</v>
      </c>
      <c r="W39" s="586">
        <v>93.347999999999999</v>
      </c>
      <c r="X39" s="586">
        <v>99.242000000000004</v>
      </c>
      <c r="Y39" s="586">
        <v>100</v>
      </c>
      <c r="Z39" s="586">
        <v>100.16800000000001</v>
      </c>
      <c r="AA39" s="586">
        <v>100.169</v>
      </c>
      <c r="AB39" s="566">
        <v>95.146000000000001</v>
      </c>
      <c r="AC39" s="586">
        <v>93.248000000000005</v>
      </c>
      <c r="AD39" s="587">
        <v>95.923000000000002</v>
      </c>
      <c r="AE39" s="257"/>
      <c r="AH39" s="584"/>
      <c r="AI39"/>
    </row>
    <row r="40" spans="2:35" ht="10.5" hidden="1" customHeight="1" outlineLevel="1" x14ac:dyDescent="0.25">
      <c r="B40" s="585" t="s">
        <v>474</v>
      </c>
      <c r="C40" s="586">
        <v>85.712999999999994</v>
      </c>
      <c r="D40" s="586">
        <v>85.674000000000007</v>
      </c>
      <c r="E40" s="586">
        <v>84.337999999999994</v>
      </c>
      <c r="F40" s="586">
        <v>83.914000000000001</v>
      </c>
      <c r="G40" s="586">
        <v>84.873000000000005</v>
      </c>
      <c r="H40" s="586">
        <v>86.887</v>
      </c>
      <c r="I40" s="586">
        <v>84.683999999999997</v>
      </c>
      <c r="J40" s="586">
        <v>82.335999999999999</v>
      </c>
      <c r="K40" s="586">
        <v>79.739999999999995</v>
      </c>
      <c r="L40" s="586">
        <v>78.661000000000001</v>
      </c>
      <c r="M40" s="586">
        <v>80.024000000000001</v>
      </c>
      <c r="N40" s="586">
        <v>79.557000000000002</v>
      </c>
      <c r="O40" s="586">
        <v>78.728999999999999</v>
      </c>
      <c r="P40" s="586">
        <v>79.506</v>
      </c>
      <c r="Q40" s="586">
        <v>82.314999999999998</v>
      </c>
      <c r="R40" s="586">
        <v>84.933999999999997</v>
      </c>
      <c r="S40" s="586">
        <v>87.585999999999999</v>
      </c>
      <c r="T40" s="586">
        <v>91.001999999999995</v>
      </c>
      <c r="U40" s="586">
        <v>95.712999999999994</v>
      </c>
      <c r="V40" s="586">
        <v>88.921000000000006</v>
      </c>
      <c r="W40" s="586">
        <v>92.966999999999999</v>
      </c>
      <c r="X40" s="586">
        <v>99.793000000000006</v>
      </c>
      <c r="Y40" s="586">
        <v>100</v>
      </c>
      <c r="Z40" s="586">
        <v>99.311999999999998</v>
      </c>
      <c r="AA40" s="586">
        <v>98.322999999999993</v>
      </c>
      <c r="AB40" s="566">
        <v>91.275999999999996</v>
      </c>
      <c r="AC40" s="586">
        <v>87.822000000000003</v>
      </c>
      <c r="AD40" s="587">
        <v>90.49</v>
      </c>
      <c r="AE40" s="257"/>
      <c r="AH40" s="584"/>
      <c r="AI40"/>
    </row>
    <row r="41" spans="2:35" ht="10.5" hidden="1" customHeight="1" outlineLevel="1" x14ac:dyDescent="0.25">
      <c r="B41" s="585" t="s">
        <v>475</v>
      </c>
      <c r="C41" s="586">
        <v>65.748000000000005</v>
      </c>
      <c r="D41" s="586">
        <v>68.555000000000007</v>
      </c>
      <c r="E41" s="586">
        <v>70.165000000000006</v>
      </c>
      <c r="F41" s="586">
        <v>71.456000000000003</v>
      </c>
      <c r="G41" s="586">
        <v>72.322999999999993</v>
      </c>
      <c r="H41" s="586">
        <v>73.683000000000007</v>
      </c>
      <c r="I41" s="586">
        <v>75.137</v>
      </c>
      <c r="J41" s="586">
        <v>75.897999999999996</v>
      </c>
      <c r="K41" s="586">
        <v>75.739999999999995</v>
      </c>
      <c r="L41" s="586">
        <v>76.325000000000003</v>
      </c>
      <c r="M41" s="586">
        <v>78.159000000000006</v>
      </c>
      <c r="N41" s="586">
        <v>77.106999999999999</v>
      </c>
      <c r="O41" s="586">
        <v>76.951999999999998</v>
      </c>
      <c r="P41" s="586">
        <v>79.171999999999997</v>
      </c>
      <c r="Q41" s="586">
        <v>82.236000000000004</v>
      </c>
      <c r="R41" s="586">
        <v>85.634</v>
      </c>
      <c r="S41" s="586">
        <v>88.49</v>
      </c>
      <c r="T41" s="586">
        <v>91.504000000000005</v>
      </c>
      <c r="U41" s="586">
        <v>94.745999999999995</v>
      </c>
      <c r="V41" s="586">
        <v>91.385999999999996</v>
      </c>
      <c r="W41" s="586">
        <v>94.197000000000003</v>
      </c>
      <c r="X41" s="586">
        <v>97.998999999999995</v>
      </c>
      <c r="Y41" s="586">
        <v>100</v>
      </c>
      <c r="Z41" s="586">
        <v>102.099</v>
      </c>
      <c r="AA41" s="586">
        <v>104.336</v>
      </c>
      <c r="AB41" s="566">
        <v>103.83799999999999</v>
      </c>
      <c r="AC41" s="586">
        <v>105.395</v>
      </c>
      <c r="AD41" s="587">
        <v>108.084</v>
      </c>
      <c r="AE41" s="257"/>
      <c r="AI41"/>
    </row>
    <row r="42" spans="2:35" ht="10.5" hidden="1" customHeight="1" outlineLevel="1" x14ac:dyDescent="0.25">
      <c r="B42" s="585" t="s">
        <v>476</v>
      </c>
      <c r="C42" s="586">
        <v>79.233000000000004</v>
      </c>
      <c r="D42" s="586">
        <v>78.572999999999993</v>
      </c>
      <c r="E42" s="586">
        <v>78.635999999999996</v>
      </c>
      <c r="F42" s="586">
        <v>78.033000000000001</v>
      </c>
      <c r="G42" s="586">
        <v>78.766000000000005</v>
      </c>
      <c r="H42" s="586">
        <v>80.924000000000007</v>
      </c>
      <c r="I42" s="586">
        <v>79.513999999999996</v>
      </c>
      <c r="J42" s="586">
        <v>76.75</v>
      </c>
      <c r="K42" s="586">
        <v>72.617999999999995</v>
      </c>
      <c r="L42" s="586">
        <v>73.019000000000005</v>
      </c>
      <c r="M42" s="586">
        <v>76.221000000000004</v>
      </c>
      <c r="N42" s="586">
        <v>74.222999999999999</v>
      </c>
      <c r="O42" s="586">
        <v>73.242000000000004</v>
      </c>
      <c r="P42" s="586">
        <v>75.453999999999994</v>
      </c>
      <c r="Q42" s="586">
        <v>79.06</v>
      </c>
      <c r="R42" s="586">
        <v>83.703000000000003</v>
      </c>
      <c r="S42" s="586">
        <v>86.909000000000006</v>
      </c>
      <c r="T42" s="586">
        <v>89.921000000000006</v>
      </c>
      <c r="U42" s="586">
        <v>98.96</v>
      </c>
      <c r="V42" s="586">
        <v>87.986999999999995</v>
      </c>
      <c r="W42" s="586">
        <v>92.783000000000001</v>
      </c>
      <c r="X42" s="586">
        <v>99.825999999999993</v>
      </c>
      <c r="Y42" s="586">
        <v>100</v>
      </c>
      <c r="Z42" s="586">
        <v>98.635999999999996</v>
      </c>
      <c r="AA42" s="586">
        <v>97.777000000000001</v>
      </c>
      <c r="AB42" s="566">
        <v>89.727999999999994</v>
      </c>
      <c r="AC42" s="586">
        <v>86.53</v>
      </c>
      <c r="AD42" s="587">
        <v>88.510999999999996</v>
      </c>
      <c r="AE42" s="257"/>
      <c r="AI42"/>
    </row>
    <row r="43" spans="2:35" ht="10.5" hidden="1" customHeight="1" outlineLevel="1" x14ac:dyDescent="0.25">
      <c r="B43" s="585" t="s">
        <v>474</v>
      </c>
      <c r="C43" s="586">
        <v>83.055999999999997</v>
      </c>
      <c r="D43" s="586">
        <v>81.486000000000004</v>
      </c>
      <c r="E43" s="586">
        <v>81.040000000000006</v>
      </c>
      <c r="F43" s="586">
        <v>80.134</v>
      </c>
      <c r="G43" s="586">
        <v>80.718000000000004</v>
      </c>
      <c r="H43" s="586">
        <v>82.87</v>
      </c>
      <c r="I43" s="586">
        <v>80.77</v>
      </c>
      <c r="J43" s="586">
        <v>77.433999999999997</v>
      </c>
      <c r="K43" s="586">
        <v>72.757000000000005</v>
      </c>
      <c r="L43" s="586">
        <v>72.8</v>
      </c>
      <c r="M43" s="586">
        <v>76.641000000000005</v>
      </c>
      <c r="N43" s="586">
        <v>74.463999999999999</v>
      </c>
      <c r="O43" s="586">
        <v>73.096999999999994</v>
      </c>
      <c r="P43" s="586">
        <v>74.686999999999998</v>
      </c>
      <c r="Q43" s="586">
        <v>78.231999999999999</v>
      </c>
      <c r="R43" s="586">
        <v>83.183000000000007</v>
      </c>
      <c r="S43" s="586">
        <v>86.528000000000006</v>
      </c>
      <c r="T43" s="586">
        <v>89.429000000000002</v>
      </c>
      <c r="U43" s="586">
        <v>99.233999999999995</v>
      </c>
      <c r="V43" s="586">
        <v>86.628</v>
      </c>
      <c r="W43" s="586">
        <v>92.052000000000007</v>
      </c>
      <c r="X43" s="586">
        <v>99.912999999999997</v>
      </c>
      <c r="Y43" s="586">
        <v>100</v>
      </c>
      <c r="Z43" s="586">
        <v>98.054000000000002</v>
      </c>
      <c r="AA43" s="586">
        <v>96.715000000000003</v>
      </c>
      <c r="AB43" s="586">
        <v>87.463999999999999</v>
      </c>
      <c r="AC43" s="586">
        <v>83.768000000000001</v>
      </c>
      <c r="AD43" s="587">
        <v>85.760999999999996</v>
      </c>
      <c r="AE43" s="257"/>
      <c r="AI43"/>
    </row>
    <row r="44" spans="2:35" ht="10.5" hidden="1" customHeight="1" outlineLevel="1" x14ac:dyDescent="0.25">
      <c r="B44" s="585" t="s">
        <v>475</v>
      </c>
      <c r="C44" s="586">
        <v>63.655000000000001</v>
      </c>
      <c r="D44" s="586">
        <v>65.983000000000004</v>
      </c>
      <c r="E44" s="586">
        <v>67.835999999999999</v>
      </c>
      <c r="F44" s="586">
        <v>68.411000000000001</v>
      </c>
      <c r="G44" s="586">
        <v>69.753</v>
      </c>
      <c r="H44" s="586">
        <v>71.930999999999997</v>
      </c>
      <c r="I44" s="586">
        <v>73.725999999999999</v>
      </c>
      <c r="J44" s="586">
        <v>73.724000000000004</v>
      </c>
      <c r="K44" s="586">
        <v>72.281999999999996</v>
      </c>
      <c r="L44" s="586">
        <v>74.537000000000006</v>
      </c>
      <c r="M44" s="586">
        <v>74.259</v>
      </c>
      <c r="N44" s="586">
        <v>73.213999999999999</v>
      </c>
      <c r="O44" s="586">
        <v>74.271000000000001</v>
      </c>
      <c r="P44" s="586">
        <v>79.866</v>
      </c>
      <c r="Q44" s="586">
        <v>83.817999999999998</v>
      </c>
      <c r="R44" s="586">
        <v>86.721000000000004</v>
      </c>
      <c r="S44" s="586">
        <v>89.134</v>
      </c>
      <c r="T44" s="586">
        <v>92.77</v>
      </c>
      <c r="U44" s="586">
        <v>97.798000000000002</v>
      </c>
      <c r="V44" s="586">
        <v>94.510999999999996</v>
      </c>
      <c r="W44" s="586">
        <v>96.415999999999997</v>
      </c>
      <c r="X44" s="586">
        <v>99.391999999999996</v>
      </c>
      <c r="Y44" s="586">
        <v>100</v>
      </c>
      <c r="Z44" s="586">
        <v>101.575</v>
      </c>
      <c r="AA44" s="586">
        <v>103.196</v>
      </c>
      <c r="AB44" s="586">
        <v>101.498</v>
      </c>
      <c r="AC44" s="586">
        <v>100.91800000000001</v>
      </c>
      <c r="AD44" s="587">
        <v>102.83499999999999</v>
      </c>
      <c r="AE44" s="257"/>
      <c r="AI44"/>
    </row>
    <row r="45" spans="2:35" ht="10.5" hidden="1" customHeight="1" outlineLevel="1" x14ac:dyDescent="0.25">
      <c r="B45" s="585" t="s">
        <v>477</v>
      </c>
      <c r="C45" s="586">
        <v>52.113</v>
      </c>
      <c r="D45" s="586">
        <v>54.005000000000003</v>
      </c>
      <c r="E45" s="586">
        <v>55.642000000000003</v>
      </c>
      <c r="F45" s="586">
        <v>56.953000000000003</v>
      </c>
      <c r="G45" s="586">
        <v>58.463000000000001</v>
      </c>
      <c r="H45" s="586">
        <v>60.122999999999998</v>
      </c>
      <c r="I45" s="586">
        <v>61.354999999999997</v>
      </c>
      <c r="J45" s="586">
        <v>62.56</v>
      </c>
      <c r="K45" s="586">
        <v>63.624000000000002</v>
      </c>
      <c r="L45" s="586">
        <v>65.778000000000006</v>
      </c>
      <c r="M45" s="586">
        <v>68.600999999999999</v>
      </c>
      <c r="N45" s="586">
        <v>70.566999999999993</v>
      </c>
      <c r="O45" s="586">
        <v>72.393000000000001</v>
      </c>
      <c r="P45" s="586">
        <v>75.028000000000006</v>
      </c>
      <c r="Q45" s="586">
        <v>78.153000000000006</v>
      </c>
      <c r="R45" s="586">
        <v>82.11</v>
      </c>
      <c r="S45" s="586">
        <v>85.661000000000001</v>
      </c>
      <c r="T45" s="586">
        <v>89.492000000000004</v>
      </c>
      <c r="U45" s="586">
        <v>93.316999999999993</v>
      </c>
      <c r="V45" s="586">
        <v>92.930999999999997</v>
      </c>
      <c r="W45" s="586">
        <v>95.385999999999996</v>
      </c>
      <c r="X45" s="586">
        <v>98.284999999999997</v>
      </c>
      <c r="Y45" s="586">
        <v>100</v>
      </c>
      <c r="Z45" s="586">
        <v>102.33199999999999</v>
      </c>
      <c r="AA45" s="586">
        <v>104.44499999999999</v>
      </c>
      <c r="AB45" s="566">
        <v>104.717</v>
      </c>
      <c r="AC45" s="586">
        <v>105.059</v>
      </c>
      <c r="AD45" s="587">
        <v>107.797</v>
      </c>
      <c r="AE45" s="257"/>
      <c r="AI45"/>
    </row>
    <row r="46" spans="2:35" ht="10.5" hidden="1" customHeight="1" outlineLevel="1" x14ac:dyDescent="0.25">
      <c r="B46" s="585" t="s">
        <v>478</v>
      </c>
      <c r="C46" s="586">
        <v>57.25</v>
      </c>
      <c r="D46" s="586">
        <v>59.308999999999997</v>
      </c>
      <c r="E46" s="586">
        <v>60.823999999999998</v>
      </c>
      <c r="F46" s="586">
        <v>62.151000000000003</v>
      </c>
      <c r="G46" s="586">
        <v>63.860999999999997</v>
      </c>
      <c r="H46" s="586">
        <v>65.837999999999994</v>
      </c>
      <c r="I46" s="586">
        <v>66.936999999999998</v>
      </c>
      <c r="J46" s="586">
        <v>67.971999999999994</v>
      </c>
      <c r="K46" s="586">
        <v>68.840999999999994</v>
      </c>
      <c r="L46" s="586">
        <v>70.519000000000005</v>
      </c>
      <c r="M46" s="586">
        <v>72.885999999999996</v>
      </c>
      <c r="N46" s="586">
        <v>74.236000000000004</v>
      </c>
      <c r="O46" s="586">
        <v>76.631</v>
      </c>
      <c r="P46" s="586">
        <v>80.007999999999996</v>
      </c>
      <c r="Q46" s="586">
        <v>82.76</v>
      </c>
      <c r="R46" s="586">
        <v>86.203999999999994</v>
      </c>
      <c r="S46" s="586">
        <v>88.948999999999998</v>
      </c>
      <c r="T46" s="586">
        <v>91.59</v>
      </c>
      <c r="U46" s="586">
        <v>94.403999999999996</v>
      </c>
      <c r="V46" s="586">
        <v>94.213999999999999</v>
      </c>
      <c r="W46" s="586">
        <v>96.421000000000006</v>
      </c>
      <c r="X46" s="586">
        <v>99.07</v>
      </c>
      <c r="Y46" s="586">
        <v>100</v>
      </c>
      <c r="Z46" s="586">
        <v>100.931</v>
      </c>
      <c r="AA46" s="586">
        <v>102.61799999999999</v>
      </c>
      <c r="AB46" s="566">
        <v>103.2</v>
      </c>
      <c r="AC46" s="586">
        <v>103.73699999999999</v>
      </c>
      <c r="AD46" s="587">
        <v>105.753</v>
      </c>
      <c r="AE46" s="257"/>
      <c r="AI46"/>
    </row>
    <row r="47" spans="2:35" ht="10.5" hidden="1" customHeight="1" outlineLevel="1" x14ac:dyDescent="0.25">
      <c r="B47" s="585" t="s">
        <v>479</v>
      </c>
      <c r="C47" s="586">
        <v>57.161999999999999</v>
      </c>
      <c r="D47" s="586">
        <v>58.963999999999999</v>
      </c>
      <c r="E47" s="586">
        <v>60.677999999999997</v>
      </c>
      <c r="F47" s="586">
        <v>61.615000000000002</v>
      </c>
      <c r="G47" s="586">
        <v>63.228999999999999</v>
      </c>
      <c r="H47" s="586">
        <v>65.027000000000001</v>
      </c>
      <c r="I47" s="586">
        <v>66.114000000000004</v>
      </c>
      <c r="J47" s="586">
        <v>67.034999999999997</v>
      </c>
      <c r="K47" s="586">
        <v>67.870999999999995</v>
      </c>
      <c r="L47" s="586">
        <v>69.558999999999997</v>
      </c>
      <c r="M47" s="586">
        <v>71.908000000000001</v>
      </c>
      <c r="N47" s="586">
        <v>73.27</v>
      </c>
      <c r="O47" s="586">
        <v>75.713999999999999</v>
      </c>
      <c r="P47" s="586">
        <v>79.504999999999995</v>
      </c>
      <c r="Q47" s="586">
        <v>82.263000000000005</v>
      </c>
      <c r="R47" s="586">
        <v>86.010999999999996</v>
      </c>
      <c r="S47" s="586">
        <v>89.022000000000006</v>
      </c>
      <c r="T47" s="586">
        <v>91.75</v>
      </c>
      <c r="U47" s="586">
        <v>94.801000000000002</v>
      </c>
      <c r="V47" s="586">
        <v>94.126000000000005</v>
      </c>
      <c r="W47" s="586">
        <v>96.128</v>
      </c>
      <c r="X47" s="586">
        <v>98.945999999999998</v>
      </c>
      <c r="Y47" s="586">
        <v>100</v>
      </c>
      <c r="Z47" s="586">
        <v>100.60899999999999</v>
      </c>
      <c r="AA47" s="586">
        <v>101.995</v>
      </c>
      <c r="AB47" s="566">
        <v>102.256</v>
      </c>
      <c r="AC47" s="586">
        <v>102.557</v>
      </c>
      <c r="AD47" s="587">
        <v>104.209</v>
      </c>
      <c r="AE47" s="257"/>
      <c r="AI47"/>
    </row>
    <row r="48" spans="2:35" ht="10.5" hidden="1" customHeight="1" outlineLevel="1" x14ac:dyDescent="0.25">
      <c r="B48" s="585" t="s">
        <v>480</v>
      </c>
      <c r="C48" s="586">
        <v>57.093000000000004</v>
      </c>
      <c r="D48" s="586">
        <v>59.786999999999999</v>
      </c>
      <c r="E48" s="586">
        <v>60.825000000000003</v>
      </c>
      <c r="F48" s="586">
        <v>62.994</v>
      </c>
      <c r="G48" s="586">
        <v>64.897999999999996</v>
      </c>
      <c r="H48" s="586">
        <v>67.222999999999999</v>
      </c>
      <c r="I48" s="586">
        <v>68.343999999999994</v>
      </c>
      <c r="J48" s="586">
        <v>69.590999999999994</v>
      </c>
      <c r="K48" s="586">
        <v>70.518000000000001</v>
      </c>
      <c r="L48" s="586">
        <v>72.177999999999997</v>
      </c>
      <c r="M48" s="586">
        <v>74.578000000000003</v>
      </c>
      <c r="N48" s="586">
        <v>75.906000000000006</v>
      </c>
      <c r="O48" s="586">
        <v>78.221999999999994</v>
      </c>
      <c r="P48" s="586">
        <v>80.894999999999996</v>
      </c>
      <c r="Q48" s="586">
        <v>83.637</v>
      </c>
      <c r="R48" s="586">
        <v>86.531000000000006</v>
      </c>
      <c r="S48" s="586">
        <v>88.799000000000007</v>
      </c>
      <c r="T48" s="586">
        <v>91.281999999999996</v>
      </c>
      <c r="U48" s="586">
        <v>93.664000000000001</v>
      </c>
      <c r="V48" s="586">
        <v>94.364000000000004</v>
      </c>
      <c r="W48" s="586">
        <v>96.941999999999993</v>
      </c>
      <c r="X48" s="586">
        <v>99.289000000000001</v>
      </c>
      <c r="Y48" s="586">
        <v>100</v>
      </c>
      <c r="Z48" s="586">
        <v>101.476</v>
      </c>
      <c r="AA48" s="586">
        <v>103.65600000000001</v>
      </c>
      <c r="AB48" s="566">
        <v>104.739</v>
      </c>
      <c r="AC48" s="586">
        <v>105.631</v>
      </c>
      <c r="AD48" s="587">
        <v>108.188</v>
      </c>
      <c r="AE48" s="257"/>
      <c r="AI48"/>
    </row>
    <row r="49" spans="2:35" ht="10.5" hidden="1" customHeight="1" outlineLevel="1" x14ac:dyDescent="0.25">
      <c r="B49" s="585" t="s">
        <v>481</v>
      </c>
      <c r="C49" s="586">
        <v>49.152999999999999</v>
      </c>
      <c r="D49" s="586">
        <v>50.953000000000003</v>
      </c>
      <c r="E49" s="586">
        <v>52.69</v>
      </c>
      <c r="F49" s="586">
        <v>54.002000000000002</v>
      </c>
      <c r="G49" s="586">
        <v>55.393999999999998</v>
      </c>
      <c r="H49" s="586">
        <v>56.871000000000002</v>
      </c>
      <c r="I49" s="586">
        <v>58.177</v>
      </c>
      <c r="J49" s="586">
        <v>59.470999999999997</v>
      </c>
      <c r="K49" s="586">
        <v>60.63</v>
      </c>
      <c r="L49" s="586">
        <v>63.008000000000003</v>
      </c>
      <c r="M49" s="586">
        <v>66.031999999999996</v>
      </c>
      <c r="N49" s="586">
        <v>68.281000000000006</v>
      </c>
      <c r="O49" s="586">
        <v>69.814999999999998</v>
      </c>
      <c r="P49" s="586">
        <v>72.05</v>
      </c>
      <c r="Q49" s="586">
        <v>75.369</v>
      </c>
      <c r="R49" s="586">
        <v>79.608999999999995</v>
      </c>
      <c r="S49" s="586">
        <v>83.617000000000004</v>
      </c>
      <c r="T49" s="586">
        <v>88.132999999999996</v>
      </c>
      <c r="U49" s="586">
        <v>92.558000000000007</v>
      </c>
      <c r="V49" s="586">
        <v>92.048000000000002</v>
      </c>
      <c r="W49" s="586">
        <v>94.668999999999997</v>
      </c>
      <c r="X49" s="586">
        <v>97.739000000000004</v>
      </c>
      <c r="Y49" s="586">
        <v>100</v>
      </c>
      <c r="Z49" s="586">
        <v>103.279</v>
      </c>
      <c r="AA49" s="586">
        <v>105.67</v>
      </c>
      <c r="AB49" s="566">
        <v>105.748</v>
      </c>
      <c r="AC49" s="586">
        <v>105.97</v>
      </c>
      <c r="AD49" s="587">
        <v>109.155</v>
      </c>
      <c r="AE49" s="257"/>
      <c r="AI49"/>
    </row>
    <row r="50" spans="2:35" ht="10.5" hidden="1" customHeight="1" outlineLevel="1" x14ac:dyDescent="0.25">
      <c r="B50" s="585" t="s">
        <v>482</v>
      </c>
      <c r="C50" s="586" t="s">
        <v>483</v>
      </c>
      <c r="D50" s="586" t="s">
        <v>483</v>
      </c>
      <c r="E50" s="586" t="s">
        <v>483</v>
      </c>
      <c r="F50" s="586" t="s">
        <v>483</v>
      </c>
      <c r="G50" s="586" t="s">
        <v>483</v>
      </c>
      <c r="H50" s="586" t="s">
        <v>483</v>
      </c>
      <c r="I50" s="586" t="s">
        <v>483</v>
      </c>
      <c r="J50" s="586" t="s">
        <v>483</v>
      </c>
      <c r="K50" s="586" t="s">
        <v>483</v>
      </c>
      <c r="L50" s="586" t="s">
        <v>483</v>
      </c>
      <c r="M50" s="586" t="s">
        <v>483</v>
      </c>
      <c r="N50" s="586" t="s">
        <v>483</v>
      </c>
      <c r="O50" s="586" t="s">
        <v>483</v>
      </c>
      <c r="P50" s="586" t="s">
        <v>483</v>
      </c>
      <c r="Q50" s="586" t="s">
        <v>483</v>
      </c>
      <c r="R50" s="586" t="s">
        <v>483</v>
      </c>
      <c r="S50" s="586" t="s">
        <v>483</v>
      </c>
      <c r="T50" s="586" t="s">
        <v>483</v>
      </c>
      <c r="U50" s="586" t="s">
        <v>483</v>
      </c>
      <c r="V50" s="586" t="s">
        <v>483</v>
      </c>
      <c r="W50" s="586" t="s">
        <v>483</v>
      </c>
      <c r="X50" s="586" t="s">
        <v>483</v>
      </c>
      <c r="Y50" s="586" t="s">
        <v>483</v>
      </c>
      <c r="Z50" s="586" t="s">
        <v>483</v>
      </c>
      <c r="AA50" s="586" t="s">
        <v>483</v>
      </c>
      <c r="AB50" s="566" t="s">
        <v>483</v>
      </c>
      <c r="AC50" s="566" t="s">
        <v>483</v>
      </c>
      <c r="AD50" s="587" t="s">
        <v>483</v>
      </c>
      <c r="AE50" s="257"/>
      <c r="AI50"/>
    </row>
    <row r="51" spans="2:35" ht="10.5" hidden="1" customHeight="1" outlineLevel="1" x14ac:dyDescent="0.25">
      <c r="B51" s="585" t="s">
        <v>484</v>
      </c>
      <c r="C51" s="566">
        <v>63.637</v>
      </c>
      <c r="D51" s="566">
        <v>65.801000000000002</v>
      </c>
      <c r="E51" s="566">
        <v>67.299000000000007</v>
      </c>
      <c r="F51" s="566">
        <v>68.891000000000005</v>
      </c>
      <c r="G51" s="566">
        <v>70.36</v>
      </c>
      <c r="H51" s="566">
        <v>71.843000000000004</v>
      </c>
      <c r="I51" s="566">
        <v>73.161000000000001</v>
      </c>
      <c r="J51" s="566">
        <v>74.423000000000002</v>
      </c>
      <c r="K51" s="566">
        <v>75.263000000000005</v>
      </c>
      <c r="L51" s="566">
        <v>76.347999999999999</v>
      </c>
      <c r="M51" s="566">
        <v>78.052999999999997</v>
      </c>
      <c r="N51" s="566">
        <v>79.763999999999996</v>
      </c>
      <c r="O51" s="566">
        <v>81.025999999999996</v>
      </c>
      <c r="P51" s="566">
        <v>82.533000000000001</v>
      </c>
      <c r="Q51" s="566">
        <v>84.754000000000005</v>
      </c>
      <c r="R51" s="566">
        <v>87.394999999999996</v>
      </c>
      <c r="S51" s="566">
        <v>90.040999999999997</v>
      </c>
      <c r="T51" s="566">
        <v>92.46</v>
      </c>
      <c r="U51" s="566">
        <v>94.268000000000001</v>
      </c>
      <c r="V51" s="566">
        <v>94.997</v>
      </c>
      <c r="W51" s="566">
        <v>96.102000000000004</v>
      </c>
      <c r="X51" s="566">
        <v>98.117999999999995</v>
      </c>
      <c r="Y51" s="566">
        <v>100</v>
      </c>
      <c r="Z51" s="566">
        <v>101.754</v>
      </c>
      <c r="AA51" s="566">
        <v>103.667</v>
      </c>
      <c r="AB51" s="566">
        <v>104.755</v>
      </c>
      <c r="AC51" s="566">
        <v>105.90300000000001</v>
      </c>
      <c r="AD51" s="587">
        <v>107.90300000000001</v>
      </c>
      <c r="AE51" s="257"/>
      <c r="AI51"/>
    </row>
    <row r="52" spans="2:35" ht="10.5" hidden="1" customHeight="1" outlineLevel="1" x14ac:dyDescent="0.25">
      <c r="B52" s="590" t="s">
        <v>485</v>
      </c>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I52"/>
    </row>
    <row r="53" spans="2:35" ht="10" hidden="1" customHeight="1" outlineLevel="1" x14ac:dyDescent="0.25">
      <c r="AI53"/>
    </row>
    <row r="54" spans="2:35" s="548" customFormat="1" collapsed="1" x14ac:dyDescent="0.25">
      <c r="B54" s="549" t="s">
        <v>486</v>
      </c>
      <c r="C54" s="550"/>
    </row>
    <row r="55" spans="2:35" s="593" customFormat="1" x14ac:dyDescent="0.25">
      <c r="B55" s="591"/>
      <c r="C55" s="592"/>
      <c r="Y55" s="594"/>
      <c r="Z55" s="595"/>
    </row>
    <row r="56" spans="2:35" s="272" customFormat="1" x14ac:dyDescent="0.25">
      <c r="B56" s="596" t="s">
        <v>487</v>
      </c>
      <c r="C56" s="574" t="s">
        <v>238</v>
      </c>
      <c r="D56" s="258" t="s">
        <v>488</v>
      </c>
      <c r="E56" s="258" t="s">
        <v>489</v>
      </c>
      <c r="F56" s="258" t="s">
        <v>490</v>
      </c>
      <c r="G56" s="258" t="s">
        <v>491</v>
      </c>
      <c r="H56" s="258" t="s">
        <v>492</v>
      </c>
      <c r="I56" s="258" t="s">
        <v>449</v>
      </c>
      <c r="J56" s="258" t="s">
        <v>493</v>
      </c>
      <c r="K56" s="258" t="s">
        <v>494</v>
      </c>
      <c r="L56" s="258" t="s">
        <v>495</v>
      </c>
      <c r="M56" s="258" t="s">
        <v>496</v>
      </c>
      <c r="N56" s="258" t="s">
        <v>497</v>
      </c>
      <c r="O56" s="258" t="s">
        <v>498</v>
      </c>
      <c r="P56" s="258" t="s">
        <v>499</v>
      </c>
      <c r="Q56" s="258" t="s">
        <v>500</v>
      </c>
      <c r="R56" s="258" t="s">
        <v>501</v>
      </c>
      <c r="S56" s="519" t="s">
        <v>502</v>
      </c>
      <c r="T56" s="519" t="s">
        <v>503</v>
      </c>
      <c r="Y56" s="277"/>
      <c r="Z56" s="567"/>
    </row>
    <row r="57" spans="2:35" x14ac:dyDescent="0.25">
      <c r="B57" s="381" t="s">
        <v>504</v>
      </c>
      <c r="C57" s="597">
        <v>1970</v>
      </c>
      <c r="D57" s="598">
        <v>37.799999999999997</v>
      </c>
      <c r="E57" s="598">
        <v>38</v>
      </c>
      <c r="F57" s="598">
        <v>38.200000000000003</v>
      </c>
      <c r="G57" s="598">
        <v>38.5</v>
      </c>
      <c r="H57" s="598">
        <v>38.6</v>
      </c>
      <c r="I57" s="598">
        <v>38.799999999999997</v>
      </c>
      <c r="J57" s="598">
        <v>39</v>
      </c>
      <c r="K57" s="598">
        <v>39</v>
      </c>
      <c r="L57" s="598">
        <v>39.200000000000003</v>
      </c>
      <c r="M57" s="598">
        <v>39.4</v>
      </c>
      <c r="N57" s="598">
        <v>39.6</v>
      </c>
      <c r="O57" s="598">
        <v>39.799999999999997</v>
      </c>
      <c r="P57" s="572">
        <f>AVERAGE(D57:O57)</f>
        <v>38.824999999999996</v>
      </c>
      <c r="Q57" s="559"/>
      <c r="R57" s="559"/>
      <c r="S57" s="599">
        <v>5.6</v>
      </c>
      <c r="T57" s="599">
        <v>5.7</v>
      </c>
      <c r="V57" s="600"/>
    </row>
    <row r="58" spans="2:35" x14ac:dyDescent="0.25">
      <c r="B58" s="381" t="s">
        <v>505</v>
      </c>
      <c r="C58" s="597">
        <v>1971</v>
      </c>
      <c r="D58" s="598">
        <v>39.799999999999997</v>
      </c>
      <c r="E58" s="598">
        <v>39.9</v>
      </c>
      <c r="F58" s="598">
        <v>40</v>
      </c>
      <c r="G58" s="598">
        <v>40.1</v>
      </c>
      <c r="H58" s="598">
        <v>40.299999999999997</v>
      </c>
      <c r="I58" s="598">
        <v>40.6</v>
      </c>
      <c r="J58" s="598">
        <v>40.700000000000003</v>
      </c>
      <c r="K58" s="598">
        <v>40.799999999999997</v>
      </c>
      <c r="L58" s="598">
        <v>40.799999999999997</v>
      </c>
      <c r="M58" s="598">
        <v>40.9</v>
      </c>
      <c r="N58" s="598">
        <v>40.9</v>
      </c>
      <c r="O58" s="598">
        <v>41.1</v>
      </c>
      <c r="P58" s="572">
        <f t="shared" ref="P58:P103" si="7">AVERAGE(D58:O58)</f>
        <v>40.491666666666667</v>
      </c>
      <c r="Q58" s="559"/>
      <c r="R58" s="559"/>
      <c r="S58" s="599">
        <f t="shared" ref="S58:T101" si="8">((O58-O57)/O57)*100</f>
        <v>3.2663316582914681</v>
      </c>
      <c r="T58" s="599">
        <f t="shared" si="8"/>
        <v>4.2927666881305129</v>
      </c>
      <c r="V58" s="600"/>
    </row>
    <row r="59" spans="2:35" x14ac:dyDescent="0.25">
      <c r="B59" s="381" t="s">
        <v>506</v>
      </c>
      <c r="C59" s="597">
        <v>1972</v>
      </c>
      <c r="D59" s="598">
        <v>41.1</v>
      </c>
      <c r="E59" s="598">
        <v>41.3</v>
      </c>
      <c r="F59" s="598">
        <v>41.4</v>
      </c>
      <c r="G59" s="598">
        <v>41.5</v>
      </c>
      <c r="H59" s="598">
        <v>41.6</v>
      </c>
      <c r="I59" s="598">
        <v>41.7</v>
      </c>
      <c r="J59" s="598">
        <v>41.9</v>
      </c>
      <c r="K59" s="598">
        <v>42</v>
      </c>
      <c r="L59" s="598">
        <v>42.1</v>
      </c>
      <c r="M59" s="598">
        <v>42.3</v>
      </c>
      <c r="N59" s="598">
        <v>42.4</v>
      </c>
      <c r="O59" s="598">
        <v>42.5</v>
      </c>
      <c r="P59" s="572">
        <f t="shared" si="7"/>
        <v>41.81666666666667</v>
      </c>
      <c r="Q59" s="559"/>
      <c r="R59" s="559"/>
      <c r="S59" s="599">
        <f t="shared" si="8"/>
        <v>3.4063260340632571</v>
      </c>
      <c r="T59" s="599">
        <f t="shared" si="8"/>
        <v>3.2722782465527955</v>
      </c>
      <c r="V59" s="600"/>
    </row>
    <row r="60" spans="2:35" x14ac:dyDescent="0.25">
      <c r="B60" s="381" t="s">
        <v>507</v>
      </c>
      <c r="C60" s="597">
        <v>1973</v>
      </c>
      <c r="D60" s="598">
        <v>42.6</v>
      </c>
      <c r="E60" s="598">
        <v>42.9</v>
      </c>
      <c r="F60" s="598">
        <v>43.3</v>
      </c>
      <c r="G60" s="598">
        <v>43.6</v>
      </c>
      <c r="H60" s="598">
        <v>43.9</v>
      </c>
      <c r="I60" s="598">
        <v>44.2</v>
      </c>
      <c r="J60" s="598">
        <v>44.3</v>
      </c>
      <c r="K60" s="598">
        <v>45.1</v>
      </c>
      <c r="L60" s="598">
        <v>45.2</v>
      </c>
      <c r="M60" s="598">
        <v>45.6</v>
      </c>
      <c r="N60" s="598">
        <v>45.9</v>
      </c>
      <c r="O60" s="598">
        <v>46.2</v>
      </c>
      <c r="P60" s="572">
        <f t="shared" si="7"/>
        <v>44.400000000000006</v>
      </c>
      <c r="Q60" s="559"/>
      <c r="R60" s="559"/>
      <c r="S60" s="599">
        <f t="shared" si="8"/>
        <v>8.7058823529411828</v>
      </c>
      <c r="T60" s="599">
        <f t="shared" si="8"/>
        <v>6.1777600637704317</v>
      </c>
      <c r="V60" s="600"/>
    </row>
    <row r="61" spans="2:35" x14ac:dyDescent="0.25">
      <c r="B61" s="557" t="s">
        <v>443</v>
      </c>
      <c r="C61" s="597">
        <v>1974</v>
      </c>
      <c r="D61" s="598">
        <v>46.6</v>
      </c>
      <c r="E61" s="598">
        <v>47.2</v>
      </c>
      <c r="F61" s="598">
        <v>47.8</v>
      </c>
      <c r="G61" s="598">
        <v>48</v>
      </c>
      <c r="H61" s="598">
        <v>48.6</v>
      </c>
      <c r="I61" s="598">
        <v>49</v>
      </c>
      <c r="J61" s="598">
        <v>49.4</v>
      </c>
      <c r="K61" s="598">
        <v>50</v>
      </c>
      <c r="L61" s="598">
        <v>50.6</v>
      </c>
      <c r="M61" s="598">
        <v>51.1</v>
      </c>
      <c r="N61" s="598">
        <v>51.5</v>
      </c>
      <c r="O61" s="598">
        <v>51.9</v>
      </c>
      <c r="P61" s="572">
        <f t="shared" si="7"/>
        <v>49.308333333333337</v>
      </c>
      <c r="Q61" s="559"/>
      <c r="R61" s="559"/>
      <c r="S61" s="599">
        <f t="shared" si="8"/>
        <v>12.337662337662328</v>
      </c>
      <c r="T61" s="599">
        <f t="shared" si="8"/>
        <v>11.0548048048048</v>
      </c>
      <c r="V61" s="600"/>
    </row>
    <row r="62" spans="2:35" x14ac:dyDescent="0.25">
      <c r="B62" s="301" t="s">
        <v>508</v>
      </c>
      <c r="C62" s="265">
        <v>1975</v>
      </c>
      <c r="D62" s="601">
        <v>52.1</v>
      </c>
      <c r="E62" s="601">
        <v>52.5</v>
      </c>
      <c r="F62" s="601">
        <v>52.7</v>
      </c>
      <c r="G62" s="601">
        <v>52.9</v>
      </c>
      <c r="H62" s="601">
        <v>53.2</v>
      </c>
      <c r="I62" s="601">
        <v>53.6</v>
      </c>
      <c r="J62" s="601">
        <v>54.2</v>
      </c>
      <c r="K62" s="601">
        <v>54.3</v>
      </c>
      <c r="L62" s="601">
        <v>54.6</v>
      </c>
      <c r="M62" s="601">
        <v>54.9</v>
      </c>
      <c r="N62" s="601">
        <v>55.3</v>
      </c>
      <c r="O62" s="601">
        <v>55.5</v>
      </c>
      <c r="P62" s="572">
        <f t="shared" si="7"/>
        <v>53.81666666666667</v>
      </c>
      <c r="Q62" s="559"/>
      <c r="R62" s="559"/>
      <c r="S62" s="599">
        <f t="shared" si="8"/>
        <v>6.9364161849711019</v>
      </c>
      <c r="T62" s="599">
        <f t="shared" si="8"/>
        <v>9.1431468649653524</v>
      </c>
      <c r="V62" s="600"/>
    </row>
    <row r="63" spans="2:35" x14ac:dyDescent="0.25">
      <c r="C63" s="311">
        <v>1976</v>
      </c>
      <c r="D63" s="600">
        <v>55.6</v>
      </c>
      <c r="E63" s="600">
        <v>55.8</v>
      </c>
      <c r="F63" s="600">
        <v>55.9</v>
      </c>
      <c r="G63" s="600">
        <v>56.1</v>
      </c>
      <c r="H63" s="600">
        <v>56.5</v>
      </c>
      <c r="I63" s="600">
        <v>56.8</v>
      </c>
      <c r="J63" s="600">
        <v>57.1</v>
      </c>
      <c r="K63" s="600">
        <v>57.4</v>
      </c>
      <c r="L63" s="600">
        <v>57.6</v>
      </c>
      <c r="M63" s="600">
        <v>57.9</v>
      </c>
      <c r="N63" s="600">
        <v>58</v>
      </c>
      <c r="O63" s="600">
        <v>58.2</v>
      </c>
      <c r="P63" s="572">
        <f t="shared" si="7"/>
        <v>56.908333333333339</v>
      </c>
      <c r="Q63" s="559"/>
      <c r="R63" s="559"/>
      <c r="S63" s="599">
        <f t="shared" si="8"/>
        <v>4.8648648648648702</v>
      </c>
      <c r="T63" s="599">
        <f t="shared" si="8"/>
        <v>5.7448126354908675</v>
      </c>
      <c r="V63" s="600"/>
    </row>
    <row r="64" spans="2:35" x14ac:dyDescent="0.25">
      <c r="C64" s="311">
        <v>1977</v>
      </c>
      <c r="D64" s="600">
        <v>58.5</v>
      </c>
      <c r="E64" s="600">
        <v>59.1</v>
      </c>
      <c r="F64" s="600">
        <v>59.5</v>
      </c>
      <c r="G64" s="600">
        <v>60</v>
      </c>
      <c r="H64" s="600">
        <v>60.3</v>
      </c>
      <c r="I64" s="600">
        <v>60.7</v>
      </c>
      <c r="J64" s="600">
        <v>61</v>
      </c>
      <c r="K64" s="600">
        <v>61.2</v>
      </c>
      <c r="L64" s="600">
        <v>61.4</v>
      </c>
      <c r="M64" s="600">
        <v>61.6</v>
      </c>
      <c r="N64" s="600">
        <v>61.9</v>
      </c>
      <c r="O64" s="600">
        <v>62.1</v>
      </c>
      <c r="P64" s="572">
        <f t="shared" si="7"/>
        <v>60.608333333333327</v>
      </c>
      <c r="Q64" s="559"/>
      <c r="R64" s="559"/>
      <c r="S64" s="599">
        <f t="shared" si="8"/>
        <v>6.7010309278350482</v>
      </c>
      <c r="T64" s="599">
        <f t="shared" si="8"/>
        <v>6.501683994728344</v>
      </c>
      <c r="V64" s="600"/>
    </row>
    <row r="65" spans="3:22" x14ac:dyDescent="0.25">
      <c r="C65" s="311">
        <v>1978</v>
      </c>
      <c r="D65" s="600">
        <v>62.5</v>
      </c>
      <c r="E65" s="600">
        <v>62.9</v>
      </c>
      <c r="F65" s="600">
        <v>63.4</v>
      </c>
      <c r="G65" s="600">
        <v>63.9</v>
      </c>
      <c r="H65" s="600">
        <v>64.5</v>
      </c>
      <c r="I65" s="600">
        <v>65.2</v>
      </c>
      <c r="J65" s="600">
        <v>65.7</v>
      </c>
      <c r="K65" s="600">
        <v>66</v>
      </c>
      <c r="L65" s="600">
        <v>66.5</v>
      </c>
      <c r="M65" s="600">
        <v>67.099999999999994</v>
      </c>
      <c r="N65" s="600">
        <v>67.400000000000006</v>
      </c>
      <c r="O65" s="600">
        <v>67.7</v>
      </c>
      <c r="P65" s="572">
        <f t="shared" si="7"/>
        <v>65.233333333333334</v>
      </c>
      <c r="Q65" s="559"/>
      <c r="R65" s="559"/>
      <c r="S65" s="599">
        <f t="shared" si="8"/>
        <v>9.0177133655394552</v>
      </c>
      <c r="T65" s="599">
        <f t="shared" si="8"/>
        <v>7.6309638388560561</v>
      </c>
      <c r="V65" s="600"/>
    </row>
    <row r="66" spans="3:22" x14ac:dyDescent="0.25">
      <c r="C66" s="311">
        <v>1979</v>
      </c>
      <c r="D66" s="600">
        <v>68.3</v>
      </c>
      <c r="E66" s="600">
        <v>69.099999999999994</v>
      </c>
      <c r="F66" s="600">
        <v>69.8</v>
      </c>
      <c r="G66" s="600">
        <v>70.599999999999994</v>
      </c>
      <c r="H66" s="600">
        <v>71.5</v>
      </c>
      <c r="I66" s="600">
        <v>72.3</v>
      </c>
      <c r="J66" s="600">
        <v>73.099999999999994</v>
      </c>
      <c r="K66" s="600">
        <v>73.8</v>
      </c>
      <c r="L66" s="600">
        <v>74.599999999999994</v>
      </c>
      <c r="M66" s="600">
        <v>75.2</v>
      </c>
      <c r="N66" s="600">
        <v>75.900000000000006</v>
      </c>
      <c r="O66" s="600">
        <v>76.7</v>
      </c>
      <c r="P66" s="572">
        <f t="shared" si="7"/>
        <v>72.575000000000003</v>
      </c>
      <c r="Q66" s="559"/>
      <c r="R66" s="559"/>
      <c r="S66" s="599">
        <f t="shared" si="8"/>
        <v>13.293943870014772</v>
      </c>
      <c r="T66" s="599">
        <f t="shared" si="8"/>
        <v>11.254471129279512</v>
      </c>
      <c r="V66" s="600"/>
    </row>
    <row r="67" spans="3:22" x14ac:dyDescent="0.25">
      <c r="C67" s="597">
        <v>1980</v>
      </c>
      <c r="D67" s="598">
        <v>77.8</v>
      </c>
      <c r="E67" s="598">
        <v>78.900000000000006</v>
      </c>
      <c r="F67" s="598">
        <v>80.099999999999994</v>
      </c>
      <c r="G67" s="598">
        <v>81</v>
      </c>
      <c r="H67" s="598">
        <v>81.8</v>
      </c>
      <c r="I67" s="598">
        <v>82.7</v>
      </c>
      <c r="J67" s="598">
        <v>82.7</v>
      </c>
      <c r="K67" s="598">
        <v>83.3</v>
      </c>
      <c r="L67" s="598">
        <v>84</v>
      </c>
      <c r="M67" s="598">
        <v>84.8</v>
      </c>
      <c r="N67" s="598">
        <v>85.5</v>
      </c>
      <c r="O67" s="598">
        <v>86.3</v>
      </c>
      <c r="P67" s="602">
        <f t="shared" si="7"/>
        <v>82.408333333333317</v>
      </c>
      <c r="Q67" s="559"/>
      <c r="R67" s="559"/>
      <c r="S67" s="599">
        <f t="shared" si="8"/>
        <v>12.516297262059966</v>
      </c>
      <c r="T67" s="599">
        <f t="shared" si="8"/>
        <v>13.549201974968398</v>
      </c>
      <c r="V67" s="600"/>
    </row>
    <row r="68" spans="3:22" x14ac:dyDescent="0.25">
      <c r="C68" s="597">
        <v>1981</v>
      </c>
      <c r="D68" s="598">
        <v>87</v>
      </c>
      <c r="E68" s="598">
        <v>87.9</v>
      </c>
      <c r="F68" s="598">
        <v>88.5</v>
      </c>
      <c r="G68" s="598">
        <v>89.1</v>
      </c>
      <c r="H68" s="598">
        <v>89.8</v>
      </c>
      <c r="I68" s="598">
        <v>90.6</v>
      </c>
      <c r="J68" s="598">
        <v>91.6</v>
      </c>
      <c r="K68" s="598">
        <v>92.3</v>
      </c>
      <c r="L68" s="598">
        <v>93.2</v>
      </c>
      <c r="M68" s="598">
        <v>93.4</v>
      </c>
      <c r="N68" s="598">
        <v>93.7</v>
      </c>
      <c r="O68" s="598">
        <v>94</v>
      </c>
      <c r="P68" s="602">
        <f t="shared" si="7"/>
        <v>90.924999999999997</v>
      </c>
      <c r="Q68" s="559"/>
      <c r="R68" s="559"/>
      <c r="S68" s="599">
        <f t="shared" si="8"/>
        <v>8.9223638470451956</v>
      </c>
      <c r="T68" s="599">
        <f t="shared" si="8"/>
        <v>10.334715340277095</v>
      </c>
      <c r="V68" s="600"/>
    </row>
    <row r="69" spans="3:22" x14ac:dyDescent="0.25">
      <c r="C69" s="597">
        <v>1982</v>
      </c>
      <c r="D69" s="598">
        <v>94.3</v>
      </c>
      <c r="E69" s="598">
        <v>94.6</v>
      </c>
      <c r="F69" s="598">
        <v>94.5</v>
      </c>
      <c r="G69" s="598">
        <v>94.9</v>
      </c>
      <c r="H69" s="598">
        <v>95.8</v>
      </c>
      <c r="I69" s="598">
        <v>97</v>
      </c>
      <c r="J69" s="598">
        <v>97.5</v>
      </c>
      <c r="K69" s="598">
        <v>97.7</v>
      </c>
      <c r="L69" s="598">
        <v>97.9</v>
      </c>
      <c r="M69" s="598">
        <v>98.2</v>
      </c>
      <c r="N69" s="598">
        <v>98</v>
      </c>
      <c r="O69" s="598">
        <v>97.6</v>
      </c>
      <c r="P69" s="602">
        <f t="shared" si="7"/>
        <v>96.5</v>
      </c>
      <c r="Q69" s="559"/>
      <c r="R69" s="559"/>
      <c r="S69" s="599">
        <f t="shared" si="8"/>
        <v>3.8297872340425467</v>
      </c>
      <c r="T69" s="599">
        <f t="shared" si="8"/>
        <v>6.1314270002749556</v>
      </c>
      <c r="V69" s="600"/>
    </row>
    <row r="70" spans="3:22" x14ac:dyDescent="0.25">
      <c r="C70" s="597">
        <v>1983</v>
      </c>
      <c r="D70" s="598">
        <v>97.8</v>
      </c>
      <c r="E70" s="598">
        <v>97.9</v>
      </c>
      <c r="F70" s="598">
        <v>97.9</v>
      </c>
      <c r="G70" s="598">
        <v>98.6</v>
      </c>
      <c r="H70" s="598">
        <v>99.2</v>
      </c>
      <c r="I70" s="598">
        <v>99.5</v>
      </c>
      <c r="J70" s="598">
        <v>99.9</v>
      </c>
      <c r="K70" s="598">
        <v>100.2</v>
      </c>
      <c r="L70" s="598">
        <v>100.7</v>
      </c>
      <c r="M70" s="598">
        <v>101</v>
      </c>
      <c r="N70" s="598">
        <v>101.2</v>
      </c>
      <c r="O70" s="598">
        <v>101.3</v>
      </c>
      <c r="P70" s="602">
        <f t="shared" si="7"/>
        <v>99.600000000000009</v>
      </c>
      <c r="Q70" s="559"/>
      <c r="R70" s="559"/>
      <c r="S70" s="599">
        <f t="shared" si="8"/>
        <v>3.7909836065573801</v>
      </c>
      <c r="T70" s="599">
        <f t="shared" si="8"/>
        <v>3.2124352331606305</v>
      </c>
      <c r="V70" s="600"/>
    </row>
    <row r="71" spans="3:22" x14ac:dyDescent="0.25">
      <c r="C71" s="597">
        <v>1984</v>
      </c>
      <c r="D71" s="598">
        <v>101.9</v>
      </c>
      <c r="E71" s="598">
        <v>102.4</v>
      </c>
      <c r="F71" s="598">
        <v>102.6</v>
      </c>
      <c r="G71" s="598">
        <v>103.1</v>
      </c>
      <c r="H71" s="598">
        <v>103.4</v>
      </c>
      <c r="I71" s="598">
        <v>103.7</v>
      </c>
      <c r="J71" s="598">
        <v>104.1</v>
      </c>
      <c r="K71" s="598">
        <v>104.5</v>
      </c>
      <c r="L71" s="598">
        <v>105</v>
      </c>
      <c r="M71" s="598">
        <v>105.3</v>
      </c>
      <c r="N71" s="598">
        <v>105.3</v>
      </c>
      <c r="O71" s="598">
        <v>105.3</v>
      </c>
      <c r="P71" s="602">
        <f t="shared" si="7"/>
        <v>103.88333333333333</v>
      </c>
      <c r="Q71" s="602">
        <v>102.9</v>
      </c>
      <c r="R71" s="602">
        <v>104.9</v>
      </c>
      <c r="S71" s="603">
        <f t="shared" si="8"/>
        <v>3.9486673247778872</v>
      </c>
      <c r="T71" s="603">
        <f t="shared" si="8"/>
        <v>4.3005354752342537</v>
      </c>
      <c r="V71" s="600"/>
    </row>
    <row r="72" spans="3:22" x14ac:dyDescent="0.25">
      <c r="C72" s="311">
        <v>1985</v>
      </c>
      <c r="D72" s="600">
        <v>105.5</v>
      </c>
      <c r="E72" s="600">
        <v>106</v>
      </c>
      <c r="F72" s="600">
        <v>106.4</v>
      </c>
      <c r="G72" s="600">
        <v>106.9</v>
      </c>
      <c r="H72" s="600">
        <v>107.3</v>
      </c>
      <c r="I72" s="600">
        <v>107.6</v>
      </c>
      <c r="J72" s="600">
        <v>107.8</v>
      </c>
      <c r="K72" s="600">
        <v>108</v>
      </c>
      <c r="L72" s="600">
        <v>108.3</v>
      </c>
      <c r="M72" s="600">
        <v>108.7</v>
      </c>
      <c r="N72" s="600">
        <v>109</v>
      </c>
      <c r="O72" s="600">
        <v>109.3</v>
      </c>
      <c r="P72" s="572">
        <f>AVERAGE(D72:O72)</f>
        <v>107.56666666666665</v>
      </c>
      <c r="Q72" s="571">
        <v>106.6</v>
      </c>
      <c r="R72" s="571">
        <v>108.5</v>
      </c>
      <c r="S72" s="599">
        <f t="shared" si="8"/>
        <v>3.7986704653371319</v>
      </c>
      <c r="T72" s="599">
        <f t="shared" si="8"/>
        <v>3.5456441520936846</v>
      </c>
      <c r="V72" s="600"/>
    </row>
    <row r="73" spans="3:22" x14ac:dyDescent="0.25">
      <c r="C73" s="311">
        <v>1986</v>
      </c>
      <c r="D73" s="600">
        <v>109.6</v>
      </c>
      <c r="E73" s="600">
        <v>109.3</v>
      </c>
      <c r="F73" s="600">
        <v>108.8</v>
      </c>
      <c r="G73" s="600">
        <v>108.6</v>
      </c>
      <c r="H73" s="600">
        <v>108.9</v>
      </c>
      <c r="I73" s="600">
        <v>109.5</v>
      </c>
      <c r="J73" s="600">
        <v>109.5</v>
      </c>
      <c r="K73" s="600">
        <v>109.7</v>
      </c>
      <c r="L73" s="600">
        <v>110.2</v>
      </c>
      <c r="M73" s="600">
        <v>110.3</v>
      </c>
      <c r="N73" s="600">
        <v>110.4</v>
      </c>
      <c r="O73" s="600">
        <v>110.5</v>
      </c>
      <c r="P73" s="572">
        <f t="shared" si="7"/>
        <v>109.60833333333335</v>
      </c>
      <c r="Q73" s="571">
        <v>109.1</v>
      </c>
      <c r="R73" s="571">
        <v>110.1</v>
      </c>
      <c r="S73" s="599">
        <f t="shared" si="8"/>
        <v>1.0978956999085112</v>
      </c>
      <c r="T73" s="599">
        <f t="shared" si="8"/>
        <v>1.8980477223427643</v>
      </c>
      <c r="V73" s="600"/>
    </row>
    <row r="74" spans="3:22" x14ac:dyDescent="0.25">
      <c r="C74" s="311">
        <v>1987</v>
      </c>
      <c r="D74" s="600">
        <v>111.2</v>
      </c>
      <c r="E74" s="600">
        <v>111.6</v>
      </c>
      <c r="F74" s="600">
        <v>112.1</v>
      </c>
      <c r="G74" s="600">
        <v>112.7</v>
      </c>
      <c r="H74" s="600">
        <v>113.1</v>
      </c>
      <c r="I74" s="600">
        <v>113.5</v>
      </c>
      <c r="J74" s="600">
        <v>113.8</v>
      </c>
      <c r="K74" s="600">
        <v>114.4</v>
      </c>
      <c r="L74" s="600">
        <v>115</v>
      </c>
      <c r="M74" s="600">
        <v>115.3</v>
      </c>
      <c r="N74" s="600">
        <v>115.4</v>
      </c>
      <c r="O74" s="600">
        <v>115.4</v>
      </c>
      <c r="P74" s="572">
        <f t="shared" si="7"/>
        <v>113.625</v>
      </c>
      <c r="Q74" s="571">
        <v>112.4</v>
      </c>
      <c r="R74" s="571">
        <v>114.9</v>
      </c>
      <c r="S74" s="599">
        <f t="shared" si="8"/>
        <v>4.4343891402714979</v>
      </c>
      <c r="T74" s="599">
        <f t="shared" si="8"/>
        <v>3.6645632175169021</v>
      </c>
      <c r="V74" s="600"/>
    </row>
    <row r="75" spans="3:22" x14ac:dyDescent="0.25">
      <c r="C75" s="311">
        <v>1988</v>
      </c>
      <c r="D75" s="600">
        <v>115.7</v>
      </c>
      <c r="E75" s="600">
        <v>116</v>
      </c>
      <c r="F75" s="600">
        <v>116.5</v>
      </c>
      <c r="G75" s="600">
        <v>117.1</v>
      </c>
      <c r="H75" s="600">
        <v>117.5</v>
      </c>
      <c r="I75" s="600">
        <v>118</v>
      </c>
      <c r="J75" s="600">
        <v>118.5</v>
      </c>
      <c r="K75" s="600">
        <v>119</v>
      </c>
      <c r="L75" s="600">
        <v>119.8</v>
      </c>
      <c r="M75" s="600">
        <v>120.2</v>
      </c>
      <c r="N75" s="600">
        <v>120.3</v>
      </c>
      <c r="O75" s="600">
        <v>120.5</v>
      </c>
      <c r="P75" s="572">
        <f t="shared" si="7"/>
        <v>118.25833333333333</v>
      </c>
      <c r="Q75" s="571">
        <v>116.8</v>
      </c>
      <c r="R75" s="571">
        <v>119.7</v>
      </c>
      <c r="S75" s="599">
        <f t="shared" si="8"/>
        <v>4.4194107452339635</v>
      </c>
      <c r="T75" s="599">
        <f t="shared" si="8"/>
        <v>4.077741107444071</v>
      </c>
      <c r="V75" s="600"/>
    </row>
    <row r="76" spans="3:22" x14ac:dyDescent="0.25">
      <c r="C76" s="311">
        <v>1989</v>
      </c>
      <c r="D76" s="600">
        <v>121.1</v>
      </c>
      <c r="E76" s="600">
        <v>121.6</v>
      </c>
      <c r="F76" s="600">
        <v>122.3</v>
      </c>
      <c r="G76" s="600">
        <v>123.1</v>
      </c>
      <c r="H76" s="600">
        <v>123.8</v>
      </c>
      <c r="I76" s="600">
        <v>124.1</v>
      </c>
      <c r="J76" s="600">
        <v>124.4</v>
      </c>
      <c r="K76" s="600">
        <v>124.6</v>
      </c>
      <c r="L76" s="600">
        <v>125</v>
      </c>
      <c r="M76" s="600">
        <v>125.6</v>
      </c>
      <c r="N76" s="600">
        <v>125.9</v>
      </c>
      <c r="O76" s="600">
        <v>126.1</v>
      </c>
      <c r="P76" s="572">
        <f t="shared" si="7"/>
        <v>123.96666666666665</v>
      </c>
      <c r="Q76" s="571">
        <v>122.7</v>
      </c>
      <c r="R76" s="571">
        <v>125.3</v>
      </c>
      <c r="S76" s="599">
        <f t="shared" si="8"/>
        <v>4.6473029045643104</v>
      </c>
      <c r="T76" s="599">
        <f t="shared" si="8"/>
        <v>4.8270030300894895</v>
      </c>
      <c r="V76" s="600"/>
    </row>
    <row r="77" spans="3:22" x14ac:dyDescent="0.25">
      <c r="C77" s="597">
        <v>1990</v>
      </c>
      <c r="D77" s="598">
        <v>127.4</v>
      </c>
      <c r="E77" s="598">
        <v>128</v>
      </c>
      <c r="F77" s="598">
        <v>128.69999999999999</v>
      </c>
      <c r="G77" s="598">
        <v>128.9</v>
      </c>
      <c r="H77" s="598">
        <v>129.19999999999999</v>
      </c>
      <c r="I77" s="598">
        <v>129.9</v>
      </c>
      <c r="J77" s="598">
        <v>130.4</v>
      </c>
      <c r="K77" s="598">
        <v>131.6</v>
      </c>
      <c r="L77" s="598">
        <v>132.69999999999999</v>
      </c>
      <c r="M77" s="598">
        <v>133.5</v>
      </c>
      <c r="N77" s="598">
        <v>133.80000000000001</v>
      </c>
      <c r="O77" s="598">
        <v>133.80000000000001</v>
      </c>
      <c r="P77" s="602">
        <f t="shared" si="7"/>
        <v>130.65833333333333</v>
      </c>
      <c r="Q77" s="602">
        <v>128.69999999999999</v>
      </c>
      <c r="R77" s="602">
        <v>132.6</v>
      </c>
      <c r="S77" s="603">
        <f t="shared" si="8"/>
        <v>6.1062648691514809</v>
      </c>
      <c r="T77" s="603">
        <f t="shared" si="8"/>
        <v>5.3979564399032087</v>
      </c>
      <c r="V77" s="600"/>
    </row>
    <row r="78" spans="3:22" x14ac:dyDescent="0.25">
      <c r="C78" s="597">
        <v>1991</v>
      </c>
      <c r="D78" s="598">
        <v>134.6</v>
      </c>
      <c r="E78" s="598">
        <v>134.80000000000001</v>
      </c>
      <c r="F78" s="598">
        <v>135</v>
      </c>
      <c r="G78" s="598">
        <v>135.19999999999999</v>
      </c>
      <c r="H78" s="598">
        <v>135.6</v>
      </c>
      <c r="I78" s="598">
        <v>136</v>
      </c>
      <c r="J78" s="598">
        <v>136.19999999999999</v>
      </c>
      <c r="K78" s="598">
        <v>136.6</v>
      </c>
      <c r="L78" s="598">
        <v>137.19999999999999</v>
      </c>
      <c r="M78" s="598">
        <v>137.4</v>
      </c>
      <c r="N78" s="598">
        <v>137.80000000000001</v>
      </c>
      <c r="O78" s="598">
        <v>137.9</v>
      </c>
      <c r="P78" s="602">
        <f t="shared" si="7"/>
        <v>136.19166666666666</v>
      </c>
      <c r="Q78" s="602">
        <v>135.19999999999999</v>
      </c>
      <c r="R78" s="602">
        <v>137.19999999999999</v>
      </c>
      <c r="S78" s="603">
        <f t="shared" si="8"/>
        <v>3.0642750373692031</v>
      </c>
      <c r="T78" s="603">
        <f t="shared" si="8"/>
        <v>4.2349639645385535</v>
      </c>
      <c r="V78" s="600"/>
    </row>
    <row r="79" spans="3:22" x14ac:dyDescent="0.25">
      <c r="C79" s="597">
        <v>1992</v>
      </c>
      <c r="D79" s="598">
        <v>138.1</v>
      </c>
      <c r="E79" s="598">
        <v>138.6</v>
      </c>
      <c r="F79" s="598">
        <v>139.30000000000001</v>
      </c>
      <c r="G79" s="598">
        <v>139.5</v>
      </c>
      <c r="H79" s="598">
        <v>139.69999999999999</v>
      </c>
      <c r="I79" s="598">
        <v>140.19999999999999</v>
      </c>
      <c r="J79" s="598">
        <v>140.5</v>
      </c>
      <c r="K79" s="598">
        <v>140.9</v>
      </c>
      <c r="L79" s="598">
        <v>141.30000000000001</v>
      </c>
      <c r="M79" s="598">
        <v>141.80000000000001</v>
      </c>
      <c r="N79" s="598">
        <v>142</v>
      </c>
      <c r="O79" s="598">
        <v>141.9</v>
      </c>
      <c r="P79" s="602">
        <f t="shared" si="7"/>
        <v>140.31666666666669</v>
      </c>
      <c r="Q79" s="602">
        <v>139.19999999999999</v>
      </c>
      <c r="R79" s="602">
        <v>141.4</v>
      </c>
      <c r="S79" s="603">
        <f t="shared" si="8"/>
        <v>2.9006526468455403</v>
      </c>
      <c r="T79" s="603">
        <f t="shared" si="8"/>
        <v>3.0288196781496874</v>
      </c>
    </row>
    <row r="80" spans="3:22" x14ac:dyDescent="0.25">
      <c r="C80" s="597">
        <v>1993</v>
      </c>
      <c r="D80" s="598">
        <v>142.6</v>
      </c>
      <c r="E80" s="598">
        <v>143.1</v>
      </c>
      <c r="F80" s="598">
        <v>143.6</v>
      </c>
      <c r="G80" s="598">
        <v>144</v>
      </c>
      <c r="H80" s="598">
        <v>144.19999999999999</v>
      </c>
      <c r="I80" s="598">
        <v>144.4</v>
      </c>
      <c r="J80" s="598">
        <v>144.4</v>
      </c>
      <c r="K80" s="598">
        <v>144.80000000000001</v>
      </c>
      <c r="L80" s="598">
        <v>145.1</v>
      </c>
      <c r="M80" s="598">
        <v>145.69999999999999</v>
      </c>
      <c r="N80" s="598">
        <v>145.80000000000001</v>
      </c>
      <c r="O80" s="598">
        <v>145.80000000000001</v>
      </c>
      <c r="P80" s="602">
        <f t="shared" si="7"/>
        <v>144.45833333333331</v>
      </c>
      <c r="Q80" s="602">
        <v>143.69999999999999</v>
      </c>
      <c r="R80" s="602">
        <v>145.30000000000001</v>
      </c>
      <c r="S80" s="603">
        <f t="shared" si="8"/>
        <v>2.7484143763213571</v>
      </c>
      <c r="T80" s="603">
        <f t="shared" si="8"/>
        <v>2.9516569663855248</v>
      </c>
    </row>
    <row r="81" spans="3:23" x14ac:dyDescent="0.25">
      <c r="C81" s="597">
        <v>1994</v>
      </c>
      <c r="D81" s="598">
        <v>146.19999999999999</v>
      </c>
      <c r="E81" s="598">
        <v>146.69999999999999</v>
      </c>
      <c r="F81" s="598">
        <v>147.19999999999999</v>
      </c>
      <c r="G81" s="598">
        <v>147.4</v>
      </c>
      <c r="H81" s="598">
        <v>147.5</v>
      </c>
      <c r="I81" s="598">
        <v>148</v>
      </c>
      <c r="J81" s="598">
        <v>148.4</v>
      </c>
      <c r="K81" s="598">
        <v>149</v>
      </c>
      <c r="L81" s="598">
        <v>149.4</v>
      </c>
      <c r="M81" s="598">
        <v>149.5</v>
      </c>
      <c r="N81" s="598">
        <v>149.69999999999999</v>
      </c>
      <c r="O81" s="598">
        <v>149.69999999999999</v>
      </c>
      <c r="P81" s="602">
        <f t="shared" si="7"/>
        <v>148.22500000000002</v>
      </c>
      <c r="Q81" s="602">
        <v>147.19999999999999</v>
      </c>
      <c r="R81" s="602">
        <v>149.30000000000001</v>
      </c>
      <c r="S81" s="603">
        <f t="shared" si="8"/>
        <v>2.6748971193415483</v>
      </c>
      <c r="T81" s="603">
        <f t="shared" si="8"/>
        <v>2.6074415921546299</v>
      </c>
    </row>
    <row r="82" spans="3:23" x14ac:dyDescent="0.25">
      <c r="C82" s="311">
        <v>1995</v>
      </c>
      <c r="D82" s="600">
        <v>150.30000000000001</v>
      </c>
      <c r="E82" s="600">
        <v>150.9</v>
      </c>
      <c r="F82" s="600">
        <v>151.4</v>
      </c>
      <c r="G82" s="600">
        <v>151.9</v>
      </c>
      <c r="H82" s="600">
        <v>152.19999999999999</v>
      </c>
      <c r="I82" s="600">
        <v>152.5</v>
      </c>
      <c r="J82" s="600">
        <v>152.5</v>
      </c>
      <c r="K82" s="600">
        <v>152.9</v>
      </c>
      <c r="L82" s="600">
        <v>153.19999999999999</v>
      </c>
      <c r="M82" s="600">
        <v>153.69999999999999</v>
      </c>
      <c r="N82" s="600">
        <v>153.6</v>
      </c>
      <c r="O82" s="600">
        <v>153.5</v>
      </c>
      <c r="P82" s="572">
        <f>AVERAGE(D82:O82)</f>
        <v>152.38333333333335</v>
      </c>
      <c r="Q82" s="571">
        <v>151.5</v>
      </c>
      <c r="R82" s="571">
        <v>153.19999999999999</v>
      </c>
      <c r="S82" s="599">
        <f t="shared" si="8"/>
        <v>2.5384101536406223</v>
      </c>
      <c r="T82" s="599">
        <f t="shared" si="8"/>
        <v>2.8054196885365701</v>
      </c>
    </row>
    <row r="83" spans="3:23" x14ac:dyDescent="0.25">
      <c r="C83" s="311">
        <v>1996</v>
      </c>
      <c r="D83" s="600">
        <v>154.4</v>
      </c>
      <c r="E83" s="600">
        <v>154.9</v>
      </c>
      <c r="F83" s="600">
        <v>155.69999999999999</v>
      </c>
      <c r="G83" s="600">
        <v>156.30000000000001</v>
      </c>
      <c r="H83" s="600">
        <v>156.6</v>
      </c>
      <c r="I83" s="600">
        <v>156.69999999999999</v>
      </c>
      <c r="J83" s="600">
        <v>157</v>
      </c>
      <c r="K83" s="600">
        <v>157.30000000000001</v>
      </c>
      <c r="L83" s="600">
        <v>157.80000000000001</v>
      </c>
      <c r="M83" s="600">
        <v>158.30000000000001</v>
      </c>
      <c r="N83" s="600">
        <v>158.6</v>
      </c>
      <c r="O83" s="600">
        <v>158.6</v>
      </c>
      <c r="P83" s="572">
        <f t="shared" si="7"/>
        <v>156.84999999999997</v>
      </c>
      <c r="Q83" s="571">
        <v>155.80000000000001</v>
      </c>
      <c r="R83" s="571">
        <v>157.9</v>
      </c>
      <c r="S83" s="599">
        <f t="shared" si="8"/>
        <v>3.3224755700325694</v>
      </c>
      <c r="T83" s="599">
        <f t="shared" si="8"/>
        <v>2.9312041999343394</v>
      </c>
    </row>
    <row r="84" spans="3:23" x14ac:dyDescent="0.25">
      <c r="C84" s="311">
        <v>1997</v>
      </c>
      <c r="D84" s="600">
        <v>159.1</v>
      </c>
      <c r="E84" s="600">
        <v>159.6</v>
      </c>
      <c r="F84" s="600">
        <v>160</v>
      </c>
      <c r="G84" s="600">
        <v>160.19999999999999</v>
      </c>
      <c r="H84" s="600">
        <v>160.1</v>
      </c>
      <c r="I84" s="600">
        <v>160.30000000000001</v>
      </c>
      <c r="J84" s="600">
        <v>160.5</v>
      </c>
      <c r="K84" s="600">
        <v>160.80000000000001</v>
      </c>
      <c r="L84" s="600">
        <v>161.19999999999999</v>
      </c>
      <c r="M84" s="600">
        <v>161.6</v>
      </c>
      <c r="N84" s="600">
        <v>161.5</v>
      </c>
      <c r="O84" s="600">
        <v>161.30000000000001</v>
      </c>
      <c r="P84" s="572">
        <f t="shared" si="7"/>
        <v>160.51666666666665</v>
      </c>
      <c r="Q84" s="571">
        <v>159.9</v>
      </c>
      <c r="R84" s="571">
        <v>161.19999999999999</v>
      </c>
      <c r="S84" s="599">
        <f t="shared" si="8"/>
        <v>1.7023959646910576</v>
      </c>
      <c r="T84" s="599">
        <f t="shared" si="8"/>
        <v>2.3376899373074189</v>
      </c>
    </row>
    <row r="85" spans="3:23" x14ac:dyDescent="0.25">
      <c r="C85" s="311">
        <v>1998</v>
      </c>
      <c r="D85" s="600">
        <v>161.6</v>
      </c>
      <c r="E85" s="600">
        <v>161.9</v>
      </c>
      <c r="F85" s="600">
        <v>162.19999999999999</v>
      </c>
      <c r="G85" s="600">
        <v>162.5</v>
      </c>
      <c r="H85" s="600">
        <v>162.80000000000001</v>
      </c>
      <c r="I85" s="600">
        <v>163</v>
      </c>
      <c r="J85" s="600">
        <v>163.19999999999999</v>
      </c>
      <c r="K85" s="600">
        <v>163.4</v>
      </c>
      <c r="L85" s="600">
        <v>163.6</v>
      </c>
      <c r="M85" s="600">
        <v>164</v>
      </c>
      <c r="N85" s="600">
        <v>164</v>
      </c>
      <c r="O85" s="600">
        <v>163.9</v>
      </c>
      <c r="P85" s="572">
        <f t="shared" si="7"/>
        <v>163.00833333333335</v>
      </c>
      <c r="Q85" s="571">
        <v>162.30000000000001</v>
      </c>
      <c r="R85" s="571">
        <v>163.69999999999999</v>
      </c>
      <c r="S85" s="599">
        <f t="shared" si="8"/>
        <v>1.6119032858028484</v>
      </c>
      <c r="T85" s="599">
        <f t="shared" si="8"/>
        <v>1.552279098743663</v>
      </c>
    </row>
    <row r="86" spans="3:23" x14ac:dyDescent="0.25">
      <c r="C86" s="311">
        <v>1999</v>
      </c>
      <c r="D86" s="600">
        <v>164.3</v>
      </c>
      <c r="E86" s="600">
        <v>164.5</v>
      </c>
      <c r="F86" s="600">
        <v>165</v>
      </c>
      <c r="G86" s="600">
        <v>166.2</v>
      </c>
      <c r="H86" s="600">
        <v>166.2</v>
      </c>
      <c r="I86" s="600">
        <v>166.2</v>
      </c>
      <c r="J86" s="600">
        <v>166.7</v>
      </c>
      <c r="K86" s="600">
        <v>167.1</v>
      </c>
      <c r="L86" s="600">
        <v>167.9</v>
      </c>
      <c r="M86" s="600">
        <v>168.2</v>
      </c>
      <c r="N86" s="600">
        <v>168.3</v>
      </c>
      <c r="O86" s="600">
        <v>168.3</v>
      </c>
      <c r="P86" s="572">
        <f t="shared" si="7"/>
        <v>166.57500000000002</v>
      </c>
      <c r="Q86" s="571">
        <v>165.4</v>
      </c>
      <c r="R86" s="571">
        <v>167.8</v>
      </c>
      <c r="S86" s="599">
        <f t="shared" si="8"/>
        <v>2.684563758389265</v>
      </c>
      <c r="T86" s="599">
        <f t="shared" si="8"/>
        <v>2.1880271969735672</v>
      </c>
    </row>
    <row r="87" spans="3:23" x14ac:dyDescent="0.25">
      <c r="C87" s="597">
        <v>2000</v>
      </c>
      <c r="D87" s="598">
        <v>168.8</v>
      </c>
      <c r="E87" s="598">
        <v>169.8</v>
      </c>
      <c r="F87" s="598">
        <v>171.2</v>
      </c>
      <c r="G87" s="598">
        <v>171.3</v>
      </c>
      <c r="H87" s="598">
        <v>171.5</v>
      </c>
      <c r="I87" s="598">
        <v>172.4</v>
      </c>
      <c r="J87" s="598">
        <v>172.8</v>
      </c>
      <c r="K87" s="598">
        <v>172.8</v>
      </c>
      <c r="L87" s="598">
        <v>173.7</v>
      </c>
      <c r="M87" s="598">
        <v>174</v>
      </c>
      <c r="N87" s="598">
        <v>174.1</v>
      </c>
      <c r="O87" s="598">
        <v>174</v>
      </c>
      <c r="P87" s="602">
        <f t="shared" si="7"/>
        <v>172.19999999999996</v>
      </c>
      <c r="Q87" s="602">
        <v>170.8</v>
      </c>
      <c r="R87" s="602">
        <v>173.6</v>
      </c>
      <c r="S87" s="603">
        <f t="shared" si="8"/>
        <v>3.3868092691622032</v>
      </c>
      <c r="T87" s="603">
        <f t="shared" si="8"/>
        <v>3.3768572714992904</v>
      </c>
    </row>
    <row r="88" spans="3:23" x14ac:dyDescent="0.25">
      <c r="C88" s="597">
        <v>2001</v>
      </c>
      <c r="D88" s="598">
        <v>175.1</v>
      </c>
      <c r="E88" s="598">
        <v>175.8</v>
      </c>
      <c r="F88" s="598">
        <v>176.2</v>
      </c>
      <c r="G88" s="598">
        <v>176.9</v>
      </c>
      <c r="H88" s="598">
        <v>177.7</v>
      </c>
      <c r="I88" s="598">
        <v>178</v>
      </c>
      <c r="J88" s="598">
        <v>177.5</v>
      </c>
      <c r="K88" s="598">
        <v>177.5</v>
      </c>
      <c r="L88" s="598">
        <v>178.3</v>
      </c>
      <c r="M88" s="598">
        <v>177.7</v>
      </c>
      <c r="N88" s="598">
        <v>177.4</v>
      </c>
      <c r="O88" s="598">
        <v>176.7</v>
      </c>
      <c r="P88" s="602">
        <f t="shared" si="7"/>
        <v>177.06666666666663</v>
      </c>
      <c r="Q88" s="602">
        <v>176.6</v>
      </c>
      <c r="R88" s="602">
        <v>177.5</v>
      </c>
      <c r="S88" s="603">
        <f t="shared" si="8"/>
        <v>1.5517241379310278</v>
      </c>
      <c r="T88" s="603">
        <f t="shared" si="8"/>
        <v>2.8261711188540506</v>
      </c>
    </row>
    <row r="89" spans="3:23" x14ac:dyDescent="0.25">
      <c r="C89" s="597">
        <v>2002</v>
      </c>
      <c r="D89" s="598">
        <v>177.1</v>
      </c>
      <c r="E89" s="598">
        <v>177.8</v>
      </c>
      <c r="F89" s="598">
        <v>178.8</v>
      </c>
      <c r="G89" s="598">
        <v>179.8</v>
      </c>
      <c r="H89" s="598">
        <v>179.8</v>
      </c>
      <c r="I89" s="598">
        <v>179.9</v>
      </c>
      <c r="J89" s="598">
        <v>180.1</v>
      </c>
      <c r="K89" s="598">
        <v>180.7</v>
      </c>
      <c r="L89" s="598">
        <v>181</v>
      </c>
      <c r="M89" s="598">
        <v>181.3</v>
      </c>
      <c r="N89" s="598">
        <v>181.3</v>
      </c>
      <c r="O89" s="598">
        <v>180.9</v>
      </c>
      <c r="P89" s="602">
        <f t="shared" si="7"/>
        <v>179.875</v>
      </c>
      <c r="Q89" s="602">
        <v>178.9</v>
      </c>
      <c r="R89" s="602">
        <v>180.9</v>
      </c>
      <c r="S89" s="603">
        <f t="shared" si="8"/>
        <v>2.3769100169779387</v>
      </c>
      <c r="T89" s="603">
        <f t="shared" si="8"/>
        <v>1.5860316265060423</v>
      </c>
    </row>
    <row r="90" spans="3:23" x14ac:dyDescent="0.25">
      <c r="C90" s="597">
        <v>2003</v>
      </c>
      <c r="D90" s="598">
        <v>181.7</v>
      </c>
      <c r="E90" s="598">
        <v>183.1</v>
      </c>
      <c r="F90" s="598">
        <v>184.2</v>
      </c>
      <c r="G90" s="598">
        <v>183.8</v>
      </c>
      <c r="H90" s="598">
        <v>183.5</v>
      </c>
      <c r="I90" s="598">
        <v>183.7</v>
      </c>
      <c r="J90" s="598">
        <v>183.9</v>
      </c>
      <c r="K90" s="598">
        <v>184.6</v>
      </c>
      <c r="L90" s="598">
        <v>185.2</v>
      </c>
      <c r="M90" s="598">
        <v>185</v>
      </c>
      <c r="N90" s="598">
        <v>184.5</v>
      </c>
      <c r="O90" s="598">
        <v>184.3</v>
      </c>
      <c r="P90" s="602">
        <f t="shared" si="7"/>
        <v>183.95833333333334</v>
      </c>
      <c r="Q90" s="602">
        <v>183.3</v>
      </c>
      <c r="R90" s="602">
        <v>184.6</v>
      </c>
      <c r="S90" s="603">
        <f t="shared" si="8"/>
        <v>1.8794914317302409</v>
      </c>
      <c r="T90" s="603">
        <f t="shared" si="8"/>
        <v>2.2700949733611355</v>
      </c>
    </row>
    <row r="91" spans="3:23" x14ac:dyDescent="0.25">
      <c r="C91" s="597">
        <v>2004</v>
      </c>
      <c r="D91" s="598">
        <v>185.2</v>
      </c>
      <c r="E91" s="598">
        <v>186.2</v>
      </c>
      <c r="F91" s="598">
        <v>187.4</v>
      </c>
      <c r="G91" s="598">
        <v>188</v>
      </c>
      <c r="H91" s="598">
        <v>189.1</v>
      </c>
      <c r="I91" s="598">
        <v>189.7</v>
      </c>
      <c r="J91" s="598">
        <v>189.4</v>
      </c>
      <c r="K91" s="598">
        <v>189.5</v>
      </c>
      <c r="L91" s="598">
        <v>189.9</v>
      </c>
      <c r="M91" s="598">
        <v>190.9</v>
      </c>
      <c r="N91" s="598">
        <v>191</v>
      </c>
      <c r="O91" s="598">
        <v>190.3</v>
      </c>
      <c r="P91" s="602">
        <f t="shared" si="7"/>
        <v>188.88333333333335</v>
      </c>
      <c r="Q91" s="602">
        <v>187.6</v>
      </c>
      <c r="R91" s="602">
        <v>190.2</v>
      </c>
      <c r="S91" s="603">
        <f t="shared" si="8"/>
        <v>3.2555615843733046</v>
      </c>
      <c r="T91" s="603">
        <f t="shared" si="8"/>
        <v>2.6772366930917388</v>
      </c>
    </row>
    <row r="92" spans="3:23" x14ac:dyDescent="0.25">
      <c r="C92" s="311">
        <v>2005</v>
      </c>
      <c r="D92" s="600">
        <v>190.7</v>
      </c>
      <c r="E92" s="600">
        <v>191.8</v>
      </c>
      <c r="F92" s="600">
        <v>193.3</v>
      </c>
      <c r="G92" s="600">
        <v>194.6</v>
      </c>
      <c r="H92" s="600">
        <v>194.4</v>
      </c>
      <c r="I92" s="600">
        <v>194.5</v>
      </c>
      <c r="J92" s="600">
        <v>195.4</v>
      </c>
      <c r="K92" s="600">
        <v>196.4</v>
      </c>
      <c r="L92" s="600">
        <v>198.8</v>
      </c>
      <c r="M92" s="600">
        <v>199.2</v>
      </c>
      <c r="N92" s="600">
        <v>197.6</v>
      </c>
      <c r="O92" s="600">
        <v>196.8</v>
      </c>
      <c r="P92" s="572">
        <f t="shared" si="7"/>
        <v>195.29166666666671</v>
      </c>
      <c r="Q92" s="571">
        <v>193.2</v>
      </c>
      <c r="R92" s="571">
        <v>197.4</v>
      </c>
      <c r="S92" s="599">
        <f t="shared" si="8"/>
        <v>3.4156594850236468</v>
      </c>
      <c r="T92" s="599">
        <f t="shared" si="8"/>
        <v>3.3927468454954695</v>
      </c>
    </row>
    <row r="93" spans="3:23" x14ac:dyDescent="0.25">
      <c r="C93" s="311">
        <v>2006</v>
      </c>
      <c r="D93" s="600">
        <v>198.3</v>
      </c>
      <c r="E93" s="600">
        <v>198.7</v>
      </c>
      <c r="F93" s="600">
        <v>199.8</v>
      </c>
      <c r="G93" s="600">
        <v>201.5</v>
      </c>
      <c r="H93" s="600">
        <v>202.5</v>
      </c>
      <c r="I93" s="600">
        <v>202.9</v>
      </c>
      <c r="J93" s="600">
        <v>203.5</v>
      </c>
      <c r="K93" s="600">
        <v>203.9</v>
      </c>
      <c r="L93" s="600">
        <v>202.9</v>
      </c>
      <c r="M93" s="600">
        <v>201.8</v>
      </c>
      <c r="N93" s="600">
        <v>201.5</v>
      </c>
      <c r="O93" s="600">
        <v>201.8</v>
      </c>
      <c r="P93" s="572">
        <f t="shared" si="7"/>
        <v>201.5916666666667</v>
      </c>
      <c r="Q93" s="571">
        <v>200.6</v>
      </c>
      <c r="R93" s="571">
        <v>202.6</v>
      </c>
      <c r="S93" s="599">
        <f t="shared" si="8"/>
        <v>2.5406504065040649</v>
      </c>
      <c r="T93" s="599">
        <f t="shared" si="8"/>
        <v>3.2259441007040652</v>
      </c>
    </row>
    <row r="94" spans="3:23" x14ac:dyDescent="0.25">
      <c r="C94" s="311">
        <v>2007</v>
      </c>
      <c r="D94" s="600">
        <v>202.416</v>
      </c>
      <c r="E94" s="600">
        <v>203.499</v>
      </c>
      <c r="F94" s="600">
        <v>205.352</v>
      </c>
      <c r="G94" s="600">
        <v>206.68600000000001</v>
      </c>
      <c r="H94" s="600">
        <v>207.94900000000001</v>
      </c>
      <c r="I94" s="600">
        <v>208.352</v>
      </c>
      <c r="J94" s="600">
        <v>208.29900000000001</v>
      </c>
      <c r="K94" s="600">
        <v>207.917</v>
      </c>
      <c r="L94" s="600">
        <v>208.49</v>
      </c>
      <c r="M94" s="600">
        <v>208.93600000000001</v>
      </c>
      <c r="N94" s="600">
        <v>210.17699999999999</v>
      </c>
      <c r="O94" s="600">
        <v>210.036</v>
      </c>
      <c r="P94" s="572">
        <f t="shared" si="7"/>
        <v>207.34241666666671</v>
      </c>
      <c r="Q94" s="571">
        <v>205.709</v>
      </c>
      <c r="R94" s="571">
        <v>208.976</v>
      </c>
      <c r="S94" s="599">
        <f t="shared" si="8"/>
        <v>4.0812685827551975</v>
      </c>
      <c r="T94" s="599">
        <f t="shared" si="8"/>
        <v>2.8526724815013895</v>
      </c>
      <c r="V94" s="600"/>
    </row>
    <row r="95" spans="3:23" x14ac:dyDescent="0.25">
      <c r="C95" s="311">
        <v>2008</v>
      </c>
      <c r="D95" s="600">
        <v>211.08</v>
      </c>
      <c r="E95" s="600">
        <v>211.69300000000001</v>
      </c>
      <c r="F95" s="600">
        <v>213.52799999999999</v>
      </c>
      <c r="G95" s="600">
        <v>214.82300000000001</v>
      </c>
      <c r="H95" s="600">
        <v>216.63200000000001</v>
      </c>
      <c r="I95" s="600">
        <v>218.815</v>
      </c>
      <c r="J95" s="600">
        <v>219.964</v>
      </c>
      <c r="K95" s="600">
        <v>219.08600000000001</v>
      </c>
      <c r="L95" s="600">
        <v>218.78299999999999</v>
      </c>
      <c r="M95" s="600">
        <v>216.57300000000001</v>
      </c>
      <c r="N95" s="600">
        <v>212.42500000000001</v>
      </c>
      <c r="O95" s="600">
        <v>210.22800000000001</v>
      </c>
      <c r="P95" s="572">
        <f t="shared" si="7"/>
        <v>215.30250000000001</v>
      </c>
      <c r="Q95" s="571">
        <v>214.429</v>
      </c>
      <c r="R95" s="571">
        <v>216.17699999999999</v>
      </c>
      <c r="S95" s="599">
        <f t="shared" si="8"/>
        <v>9.1412900645607073E-2</v>
      </c>
      <c r="T95" s="599">
        <f t="shared" si="8"/>
        <v>3.8391002966509746</v>
      </c>
      <c r="V95" s="600"/>
      <c r="W95" s="314"/>
    </row>
    <row r="96" spans="3:23" x14ac:dyDescent="0.25">
      <c r="C96" s="311">
        <v>2009</v>
      </c>
      <c r="D96" s="600">
        <v>211.143</v>
      </c>
      <c r="E96" s="600">
        <v>212.19300000000001</v>
      </c>
      <c r="F96" s="600">
        <v>212.709</v>
      </c>
      <c r="G96" s="600">
        <v>213.24</v>
      </c>
      <c r="H96" s="600">
        <v>213.85599999999999</v>
      </c>
      <c r="I96" s="600">
        <v>215.69300000000001</v>
      </c>
      <c r="J96" s="600">
        <v>215.351</v>
      </c>
      <c r="K96" s="600">
        <v>215.834</v>
      </c>
      <c r="L96" s="600">
        <v>215.96899999999999</v>
      </c>
      <c r="M96" s="600">
        <v>216.17699999999999</v>
      </c>
      <c r="N96" s="600">
        <v>216.33</v>
      </c>
      <c r="O96" s="600">
        <v>215.94900000000001</v>
      </c>
      <c r="P96" s="572">
        <f t="shared" si="7"/>
        <v>214.53700000000001</v>
      </c>
      <c r="Q96" s="571">
        <v>213.13900000000001</v>
      </c>
      <c r="R96" s="571">
        <v>215.935</v>
      </c>
      <c r="S96" s="599">
        <f t="shared" si="8"/>
        <v>2.7213311262058353</v>
      </c>
      <c r="T96" s="599">
        <f t="shared" si="8"/>
        <v>-0.3555462662997424</v>
      </c>
    </row>
    <row r="97" spans="2:23" x14ac:dyDescent="0.25">
      <c r="C97" s="597">
        <v>2010</v>
      </c>
      <c r="D97" s="598">
        <v>216.68700000000001</v>
      </c>
      <c r="E97" s="598">
        <v>216.74100000000001</v>
      </c>
      <c r="F97" s="598">
        <v>217.631</v>
      </c>
      <c r="G97" s="598">
        <v>218.00899999999999</v>
      </c>
      <c r="H97" s="598">
        <v>218.178</v>
      </c>
      <c r="I97" s="598">
        <v>217.965</v>
      </c>
      <c r="J97" s="598">
        <v>218.011</v>
      </c>
      <c r="K97" s="598">
        <v>218.31200000000001</v>
      </c>
      <c r="L97" s="598">
        <v>218.43899999999999</v>
      </c>
      <c r="M97" s="598">
        <v>218.71100000000001</v>
      </c>
      <c r="N97" s="598">
        <v>218.803</v>
      </c>
      <c r="O97" s="598">
        <v>219.179</v>
      </c>
      <c r="P97" s="602">
        <f>AVERAGE(D97:O97)</f>
        <v>218.05550000000002</v>
      </c>
      <c r="Q97" s="602">
        <v>217.535</v>
      </c>
      <c r="R97" s="602">
        <v>218.57599999999999</v>
      </c>
      <c r="S97" s="603">
        <f t="shared" si="8"/>
        <v>1.4957235273143148</v>
      </c>
      <c r="T97" s="603">
        <f t="shared" si="8"/>
        <v>1.6400434423898986</v>
      </c>
      <c r="V97" s="600"/>
    </row>
    <row r="98" spans="2:23" x14ac:dyDescent="0.25">
      <c r="C98" s="597">
        <v>2011</v>
      </c>
      <c r="D98" s="598">
        <v>220.22300000000001</v>
      </c>
      <c r="E98" s="598">
        <v>221.309</v>
      </c>
      <c r="F98" s="598">
        <v>223.46700000000001</v>
      </c>
      <c r="G98" s="598">
        <v>224.90600000000001</v>
      </c>
      <c r="H98" s="598">
        <v>225.964</v>
      </c>
      <c r="I98" s="598">
        <v>225.72200000000001</v>
      </c>
      <c r="J98" s="598">
        <v>225.922</v>
      </c>
      <c r="K98" s="598">
        <v>226.54499999999999</v>
      </c>
      <c r="L98" s="598">
        <v>226.88900000000001</v>
      </c>
      <c r="M98" s="598">
        <v>226.42099999999999</v>
      </c>
      <c r="N98" s="598">
        <v>226.23</v>
      </c>
      <c r="O98" s="598">
        <v>225.672</v>
      </c>
      <c r="P98" s="602">
        <f t="shared" si="7"/>
        <v>224.93916666666667</v>
      </c>
      <c r="Q98" s="602">
        <v>223.59800000000001</v>
      </c>
      <c r="R98" s="602">
        <v>226.28</v>
      </c>
      <c r="S98" s="603">
        <f t="shared" si="8"/>
        <v>2.9624188448710851</v>
      </c>
      <c r="T98" s="603">
        <f t="shared" si="8"/>
        <v>3.1568415686220437</v>
      </c>
      <c r="U98" s="272"/>
      <c r="V98" s="600"/>
      <c r="W98" s="314"/>
    </row>
    <row r="99" spans="2:23" x14ac:dyDescent="0.25">
      <c r="C99" s="597">
        <v>2012</v>
      </c>
      <c r="D99" s="598">
        <v>226.66499999999999</v>
      </c>
      <c r="E99" s="598">
        <v>227.66300000000001</v>
      </c>
      <c r="F99" s="598">
        <v>229.392</v>
      </c>
      <c r="G99" s="598">
        <v>230.08500000000001</v>
      </c>
      <c r="H99" s="598">
        <v>229.815</v>
      </c>
      <c r="I99" s="598">
        <v>229.47800000000001</v>
      </c>
      <c r="J99" s="598">
        <v>229.10400000000001</v>
      </c>
      <c r="K99" s="598">
        <v>230.37899999999999</v>
      </c>
      <c r="L99" s="598">
        <v>231.40700000000001</v>
      </c>
      <c r="M99" s="598">
        <v>231.31700000000001</v>
      </c>
      <c r="N99" s="598">
        <v>230.221</v>
      </c>
      <c r="O99" s="598">
        <v>229.601</v>
      </c>
      <c r="P99" s="602">
        <f t="shared" si="7"/>
        <v>229.5939166666667</v>
      </c>
      <c r="Q99" s="602">
        <v>228.85</v>
      </c>
      <c r="R99" s="602">
        <v>230.33799999999999</v>
      </c>
      <c r="S99" s="603">
        <f t="shared" si="8"/>
        <v>1.7410223687475639</v>
      </c>
      <c r="T99" s="603">
        <f t="shared" si="8"/>
        <v>2.0693372652606232</v>
      </c>
      <c r="U99" s="272"/>
      <c r="V99" s="604"/>
      <c r="W99" s="605"/>
    </row>
    <row r="100" spans="2:23" x14ac:dyDescent="0.25">
      <c r="C100" s="597">
        <v>2013</v>
      </c>
      <c r="D100" s="598">
        <v>230.28</v>
      </c>
      <c r="E100" s="598">
        <v>232.166</v>
      </c>
      <c r="F100" s="598">
        <v>232.773</v>
      </c>
      <c r="G100" s="598">
        <v>232.53100000000001</v>
      </c>
      <c r="H100" s="598">
        <v>232.94499999999999</v>
      </c>
      <c r="I100" s="598">
        <v>233.50399999999999</v>
      </c>
      <c r="J100" s="598">
        <v>233.596</v>
      </c>
      <c r="K100" s="598">
        <v>233.87700000000001</v>
      </c>
      <c r="L100" s="598">
        <v>234.149</v>
      </c>
      <c r="M100" s="598">
        <v>233.54599999999999</v>
      </c>
      <c r="N100" s="598">
        <v>233.06899999999999</v>
      </c>
      <c r="O100" s="598">
        <v>233.04900000000001</v>
      </c>
      <c r="P100" s="602">
        <f t="shared" si="7"/>
        <v>232.95708333333332</v>
      </c>
      <c r="Q100" s="602">
        <v>232.36600000000001</v>
      </c>
      <c r="R100" s="602">
        <v>233.548</v>
      </c>
      <c r="S100" s="603">
        <f t="shared" si="8"/>
        <v>1.5017356196183849</v>
      </c>
      <c r="T100" s="603">
        <f t="shared" si="8"/>
        <v>1.4648326556271045</v>
      </c>
      <c r="U100" s="272"/>
      <c r="V100" s="604"/>
      <c r="W100" s="605"/>
    </row>
    <row r="101" spans="2:23" x14ac:dyDescent="0.25">
      <c r="C101" s="597">
        <v>2014</v>
      </c>
      <c r="D101" s="606">
        <v>233.916</v>
      </c>
      <c r="E101" s="606">
        <v>234.78100000000001</v>
      </c>
      <c r="F101" s="606">
        <v>236.29300000000001</v>
      </c>
      <c r="G101" s="606">
        <v>237.072</v>
      </c>
      <c r="H101" s="598">
        <v>237.9</v>
      </c>
      <c r="I101" s="606">
        <v>238.34299999999999</v>
      </c>
      <c r="J101" s="606">
        <v>238.25</v>
      </c>
      <c r="K101" s="606">
        <v>237.852</v>
      </c>
      <c r="L101" s="606">
        <v>238.03100000000001</v>
      </c>
      <c r="M101" s="606">
        <v>237.43299999999999</v>
      </c>
      <c r="N101" s="606">
        <v>236.15100000000001</v>
      </c>
      <c r="O101" s="606">
        <v>234.81200000000001</v>
      </c>
      <c r="P101" s="602">
        <f t="shared" si="7"/>
        <v>236.73616666666666</v>
      </c>
      <c r="Q101" s="602">
        <v>236.38399999999999</v>
      </c>
      <c r="R101" s="602">
        <v>237.08799999999999</v>
      </c>
      <c r="S101" s="603">
        <f t="shared" si="8"/>
        <v>0.75649326965573982</v>
      </c>
      <c r="T101" s="603">
        <f t="shared" si="8"/>
        <v>1.6222229774082195</v>
      </c>
      <c r="V101" s="607"/>
      <c r="W101" s="607"/>
    </row>
    <row r="102" spans="2:23" x14ac:dyDescent="0.25">
      <c r="C102" s="311">
        <v>2015</v>
      </c>
      <c r="D102" s="269">
        <v>233.70699999999999</v>
      </c>
      <c r="E102" s="269">
        <v>234.72200000000001</v>
      </c>
      <c r="F102" s="269">
        <v>236.119</v>
      </c>
      <c r="G102" s="269">
        <v>236.59899999999999</v>
      </c>
      <c r="H102" s="269">
        <v>237.80500000000001</v>
      </c>
      <c r="I102" s="269">
        <v>238.63800000000001</v>
      </c>
      <c r="J102" s="269">
        <v>238.654</v>
      </c>
      <c r="K102" s="269">
        <v>238.316</v>
      </c>
      <c r="L102" s="269">
        <v>237.94499999999999</v>
      </c>
      <c r="M102" s="269">
        <v>237.83799999999999</v>
      </c>
      <c r="N102" s="269">
        <v>237.33600000000001</v>
      </c>
      <c r="O102" s="269">
        <v>236.52500000000001</v>
      </c>
      <c r="P102" s="572">
        <f t="shared" si="7"/>
        <v>237.01700000000002</v>
      </c>
      <c r="Q102" s="571">
        <v>236.26499999999999</v>
      </c>
      <c r="R102" s="571">
        <v>237.76900000000001</v>
      </c>
      <c r="S102" s="599">
        <f t="shared" ref="S102:T104" si="9">((O102-O101)/O101)*100</f>
        <v>0.72951978604159662</v>
      </c>
      <c r="T102" s="599">
        <f t="shared" si="9"/>
        <v>0.11862713555245909</v>
      </c>
    </row>
    <row r="103" spans="2:23" x14ac:dyDescent="0.25">
      <c r="B103" s="269"/>
      <c r="C103" s="311">
        <v>2016</v>
      </c>
      <c r="D103" s="269">
        <v>236.916</v>
      </c>
      <c r="E103" s="269">
        <v>237.11099999999999</v>
      </c>
      <c r="F103" s="269">
        <v>238.13200000000001</v>
      </c>
      <c r="G103" s="269">
        <v>239.261</v>
      </c>
      <c r="H103" s="269">
        <v>240.22900000000001</v>
      </c>
      <c r="I103" s="269">
        <v>241.018</v>
      </c>
      <c r="J103" s="269">
        <v>240.62799999999999</v>
      </c>
      <c r="K103" s="269">
        <v>240.84899999999999</v>
      </c>
      <c r="L103" s="269">
        <v>241.428</v>
      </c>
      <c r="M103" s="269">
        <v>241.72900000000001</v>
      </c>
      <c r="N103" s="269">
        <v>241.35300000000001</v>
      </c>
      <c r="O103" s="269">
        <v>241.43199999999999</v>
      </c>
      <c r="P103" s="572">
        <f t="shared" si="7"/>
        <v>240.00716666666662</v>
      </c>
      <c r="Q103" s="571">
        <v>238.77799999999999</v>
      </c>
      <c r="R103" s="571">
        <v>241.23699999999999</v>
      </c>
      <c r="S103" s="599">
        <f t="shared" si="9"/>
        <v>2.0746221329669092</v>
      </c>
      <c r="T103" s="599">
        <f t="shared" si="9"/>
        <v>1.2615832057053273</v>
      </c>
    </row>
    <row r="104" spans="2:23" x14ac:dyDescent="0.25">
      <c r="B104" s="269"/>
      <c r="C104" s="311">
        <v>2017</v>
      </c>
      <c r="D104" s="269">
        <v>242.839</v>
      </c>
      <c r="E104" s="269">
        <v>243.60300000000001</v>
      </c>
      <c r="F104" s="269">
        <v>243.80099999999999</v>
      </c>
      <c r="G104" s="269">
        <v>244.524</v>
      </c>
      <c r="H104" s="269">
        <v>244.733</v>
      </c>
      <c r="I104" s="269">
        <v>244.95500000000001</v>
      </c>
      <c r="J104" s="269">
        <v>244.786</v>
      </c>
      <c r="K104" s="269">
        <v>245.51900000000001</v>
      </c>
      <c r="L104" s="269">
        <v>246.81899999999999</v>
      </c>
      <c r="M104" s="269">
        <v>246.66300000000001</v>
      </c>
      <c r="N104" s="269">
        <v>246.66900000000001</v>
      </c>
      <c r="O104" s="269">
        <v>246.524</v>
      </c>
      <c r="P104" s="572">
        <v>245.12</v>
      </c>
      <c r="Q104" s="571">
        <v>244.07599999999999</v>
      </c>
      <c r="R104" s="571">
        <v>246.16300000000001</v>
      </c>
      <c r="S104" s="599">
        <f t="shared" si="9"/>
        <v>2.1090824745684142</v>
      </c>
      <c r="T104" s="599">
        <f t="shared" si="9"/>
        <v>2.1302836095866797</v>
      </c>
    </row>
    <row r="105" spans="2:23" x14ac:dyDescent="0.25">
      <c r="B105" s="269"/>
      <c r="C105" s="311">
        <v>2018</v>
      </c>
      <c r="D105" s="269">
        <v>247.86699999999999</v>
      </c>
      <c r="E105" s="269">
        <v>248.99100000000001</v>
      </c>
      <c r="F105" s="269">
        <v>249.554</v>
      </c>
      <c r="G105" s="269">
        <v>250.54599999999999</v>
      </c>
      <c r="H105" s="269">
        <v>251.58799999999999</v>
      </c>
      <c r="I105" s="269">
        <v>251.989</v>
      </c>
      <c r="J105" s="269">
        <v>252.006</v>
      </c>
      <c r="K105" s="269">
        <v>252.14599999999999</v>
      </c>
      <c r="L105" s="269">
        <v>252.43899999999999</v>
      </c>
      <c r="M105" s="269">
        <v>252.88499999999999</v>
      </c>
      <c r="N105" s="269">
        <v>252.03800000000001</v>
      </c>
      <c r="P105" s="572"/>
      <c r="Q105" s="571">
        <v>250.089</v>
      </c>
      <c r="R105" s="571"/>
      <c r="S105" s="599"/>
      <c r="T105" s="599"/>
    </row>
    <row r="106" spans="2:23" x14ac:dyDescent="0.25">
      <c r="B106" s="269"/>
    </row>
    <row r="107" spans="2:23" x14ac:dyDescent="0.25">
      <c r="B107" s="596" t="s">
        <v>509</v>
      </c>
      <c r="C107" s="574" t="s">
        <v>238</v>
      </c>
      <c r="D107" s="258" t="s">
        <v>488</v>
      </c>
      <c r="E107" s="258" t="s">
        <v>489</v>
      </c>
      <c r="F107" s="258" t="s">
        <v>490</v>
      </c>
      <c r="G107" s="258" t="s">
        <v>491</v>
      </c>
      <c r="H107" s="258" t="s">
        <v>492</v>
      </c>
      <c r="I107" s="258" t="s">
        <v>449</v>
      </c>
      <c r="J107" s="258" t="s">
        <v>493</v>
      </c>
      <c r="K107" s="258" t="s">
        <v>494</v>
      </c>
      <c r="L107" s="258" t="s">
        <v>495</v>
      </c>
      <c r="M107" s="258" t="s">
        <v>496</v>
      </c>
      <c r="N107" s="258" t="s">
        <v>497</v>
      </c>
      <c r="O107" s="258" t="s">
        <v>498</v>
      </c>
      <c r="P107" s="258" t="s">
        <v>510</v>
      </c>
      <c r="Q107" s="258" t="s">
        <v>503</v>
      </c>
    </row>
    <row r="108" spans="2:23" x14ac:dyDescent="0.25">
      <c r="B108" s="381" t="s">
        <v>504</v>
      </c>
      <c r="C108" s="597">
        <v>1970</v>
      </c>
      <c r="D108" s="598">
        <v>37.9</v>
      </c>
      <c r="E108" s="598">
        <v>38.1</v>
      </c>
      <c r="F108" s="598">
        <v>38.299999999999997</v>
      </c>
      <c r="G108" s="598">
        <v>38.5</v>
      </c>
      <c r="H108" s="598">
        <v>38.6</v>
      </c>
      <c r="I108" s="598">
        <v>38.799999999999997</v>
      </c>
      <c r="J108" s="598">
        <v>38.9</v>
      </c>
      <c r="K108" s="598">
        <v>39</v>
      </c>
      <c r="L108" s="598">
        <v>39.200000000000003</v>
      </c>
      <c r="M108" s="598">
        <v>39.4</v>
      </c>
      <c r="N108" s="598">
        <v>39.6</v>
      </c>
      <c r="O108" s="598">
        <v>39.799999999999997</v>
      </c>
      <c r="P108" s="608">
        <f t="shared" ref="P108:P156" si="10">AVERAGE(D108:O108)</f>
        <v>38.841666666666661</v>
      </c>
      <c r="Q108" s="609" t="s">
        <v>232</v>
      </c>
    </row>
    <row r="109" spans="2:23" x14ac:dyDescent="0.25">
      <c r="B109" s="381" t="s">
        <v>505</v>
      </c>
      <c r="C109" s="597">
        <v>1971</v>
      </c>
      <c r="D109" s="598">
        <v>39.9</v>
      </c>
      <c r="E109" s="598">
        <v>39.9</v>
      </c>
      <c r="F109" s="598">
        <v>40</v>
      </c>
      <c r="G109" s="598">
        <v>40.1</v>
      </c>
      <c r="H109" s="598">
        <v>40.299999999999997</v>
      </c>
      <c r="I109" s="598">
        <v>40.5</v>
      </c>
      <c r="J109" s="598">
        <v>40.6</v>
      </c>
      <c r="K109" s="598">
        <v>40.700000000000003</v>
      </c>
      <c r="L109" s="598">
        <v>40.799999999999997</v>
      </c>
      <c r="M109" s="598">
        <v>40.9</v>
      </c>
      <c r="N109" s="598">
        <v>41</v>
      </c>
      <c r="O109" s="598">
        <v>41.1</v>
      </c>
      <c r="P109" s="608">
        <f t="shared" si="10"/>
        <v>40.483333333333334</v>
      </c>
      <c r="Q109" s="559">
        <f t="shared" ref="Q109:Q156" si="11">(P109/P108-1)*100</f>
        <v>4.2265608238575503</v>
      </c>
    </row>
    <row r="110" spans="2:23" x14ac:dyDescent="0.25">
      <c r="B110" s="381" t="s">
        <v>506</v>
      </c>
      <c r="C110" s="597">
        <v>1972</v>
      </c>
      <c r="D110" s="598">
        <v>41.2</v>
      </c>
      <c r="E110" s="598">
        <v>41.4</v>
      </c>
      <c r="F110" s="598">
        <v>41.4</v>
      </c>
      <c r="G110" s="598">
        <v>41.5</v>
      </c>
      <c r="H110" s="598">
        <v>41.6</v>
      </c>
      <c r="I110" s="598">
        <v>41.7</v>
      </c>
      <c r="J110" s="598">
        <v>41.8</v>
      </c>
      <c r="K110" s="598">
        <v>41.9</v>
      </c>
      <c r="L110" s="598">
        <v>42.1</v>
      </c>
      <c r="M110" s="598">
        <v>42.2</v>
      </c>
      <c r="N110" s="598">
        <v>42.4</v>
      </c>
      <c r="O110" s="598">
        <v>42.5</v>
      </c>
      <c r="P110" s="608">
        <f t="shared" si="10"/>
        <v>41.80833333333333</v>
      </c>
      <c r="Q110" s="559">
        <f t="shared" si="11"/>
        <v>3.2729518320296247</v>
      </c>
    </row>
    <row r="111" spans="2:23" x14ac:dyDescent="0.25">
      <c r="B111" s="381" t="s">
        <v>507</v>
      </c>
      <c r="C111" s="597">
        <v>1973</v>
      </c>
      <c r="D111" s="598">
        <v>42.7</v>
      </c>
      <c r="E111" s="598">
        <v>43</v>
      </c>
      <c r="F111" s="598">
        <v>43.4</v>
      </c>
      <c r="G111" s="598">
        <v>43.7</v>
      </c>
      <c r="H111" s="598">
        <v>43.9</v>
      </c>
      <c r="I111" s="598">
        <v>44.2</v>
      </c>
      <c r="J111" s="598">
        <v>44.2</v>
      </c>
      <c r="K111" s="598">
        <v>45</v>
      </c>
      <c r="L111" s="598">
        <v>45.2</v>
      </c>
      <c r="M111" s="598">
        <v>45.6</v>
      </c>
      <c r="N111" s="598">
        <v>45.9</v>
      </c>
      <c r="O111" s="598">
        <v>46.3</v>
      </c>
      <c r="P111" s="608">
        <f t="shared" si="10"/>
        <v>44.425000000000004</v>
      </c>
      <c r="Q111" s="559">
        <f t="shared" si="11"/>
        <v>6.2587203508072786</v>
      </c>
    </row>
    <row r="112" spans="2:23" x14ac:dyDescent="0.25">
      <c r="B112" s="557" t="s">
        <v>443</v>
      </c>
      <c r="C112" s="597">
        <v>1974</v>
      </c>
      <c r="D112" s="598">
        <v>46.8</v>
      </c>
      <c r="E112" s="598">
        <v>47.3</v>
      </c>
      <c r="F112" s="598">
        <v>47.8</v>
      </c>
      <c r="G112" s="598">
        <v>48.1</v>
      </c>
      <c r="H112" s="598">
        <v>48.6</v>
      </c>
      <c r="I112" s="598">
        <v>49</v>
      </c>
      <c r="J112" s="598">
        <v>49.3</v>
      </c>
      <c r="K112" s="598">
        <v>49.9</v>
      </c>
      <c r="L112" s="598">
        <v>50.6</v>
      </c>
      <c r="M112" s="598">
        <v>51</v>
      </c>
      <c r="N112" s="598">
        <v>51.5</v>
      </c>
      <c r="O112" s="598">
        <v>51.9</v>
      </c>
      <c r="P112" s="608">
        <f t="shared" si="10"/>
        <v>49.316666666666663</v>
      </c>
      <c r="Q112" s="559">
        <f t="shared" si="11"/>
        <v>11.011067341962089</v>
      </c>
    </row>
    <row r="113" spans="2:17" x14ac:dyDescent="0.25">
      <c r="B113" s="301" t="s">
        <v>511</v>
      </c>
      <c r="C113" s="265">
        <v>1975</v>
      </c>
      <c r="D113" s="601">
        <v>52.3</v>
      </c>
      <c r="E113" s="601">
        <v>52.6</v>
      </c>
      <c r="F113" s="601">
        <v>52.8</v>
      </c>
      <c r="G113" s="601">
        <v>53</v>
      </c>
      <c r="H113" s="601">
        <v>53.1</v>
      </c>
      <c r="I113" s="601">
        <v>53.5</v>
      </c>
      <c r="J113" s="601">
        <v>54</v>
      </c>
      <c r="K113" s="601">
        <v>54.2</v>
      </c>
      <c r="L113" s="601">
        <v>54.6</v>
      </c>
      <c r="M113" s="601">
        <v>54.9</v>
      </c>
      <c r="N113" s="601">
        <v>55.3</v>
      </c>
      <c r="O113" s="601">
        <v>55.6</v>
      </c>
      <c r="P113" s="608">
        <f t="shared" si="10"/>
        <v>53.824999999999996</v>
      </c>
      <c r="Q113" s="559">
        <f t="shared" si="11"/>
        <v>9.1416018925312592</v>
      </c>
    </row>
    <row r="114" spans="2:17" x14ac:dyDescent="0.25">
      <c r="C114" s="311">
        <v>1976</v>
      </c>
      <c r="D114" s="600">
        <v>55.8</v>
      </c>
      <c r="E114" s="600">
        <v>55.9</v>
      </c>
      <c r="F114" s="600">
        <v>56</v>
      </c>
      <c r="G114" s="600">
        <v>56.1</v>
      </c>
      <c r="H114" s="600">
        <v>56.4</v>
      </c>
      <c r="I114" s="600">
        <v>56.7</v>
      </c>
      <c r="J114" s="600">
        <v>57</v>
      </c>
      <c r="K114" s="600">
        <v>57.3</v>
      </c>
      <c r="L114" s="600">
        <v>57.6</v>
      </c>
      <c r="M114" s="600">
        <v>57.9</v>
      </c>
      <c r="N114" s="600">
        <v>58.1</v>
      </c>
      <c r="O114" s="600">
        <v>58.4</v>
      </c>
      <c r="P114" s="608">
        <f t="shared" si="10"/>
        <v>56.933333333333337</v>
      </c>
      <c r="Q114" s="559">
        <f t="shared" si="11"/>
        <v>5.7748877535222398</v>
      </c>
    </row>
    <row r="115" spans="2:17" x14ac:dyDescent="0.25">
      <c r="C115" s="311">
        <v>1977</v>
      </c>
      <c r="D115" s="600">
        <v>58.7</v>
      </c>
      <c r="E115" s="600">
        <v>59.3</v>
      </c>
      <c r="F115" s="600">
        <v>59.6</v>
      </c>
      <c r="G115" s="600">
        <v>60</v>
      </c>
      <c r="H115" s="600">
        <v>60.2</v>
      </c>
      <c r="I115" s="600">
        <v>60.5</v>
      </c>
      <c r="J115" s="600">
        <v>60.8</v>
      </c>
      <c r="K115" s="600">
        <v>61.1</v>
      </c>
      <c r="L115" s="600">
        <v>61.3</v>
      </c>
      <c r="M115" s="600">
        <v>61.6</v>
      </c>
      <c r="N115" s="600">
        <v>62</v>
      </c>
      <c r="O115" s="600">
        <v>62.3</v>
      </c>
      <c r="P115" s="608">
        <f t="shared" si="10"/>
        <v>60.616666666666667</v>
      </c>
      <c r="Q115" s="559">
        <f t="shared" si="11"/>
        <v>6.4695550351288045</v>
      </c>
    </row>
    <row r="116" spans="2:17" x14ac:dyDescent="0.25">
      <c r="C116" s="311">
        <v>1978</v>
      </c>
      <c r="D116" s="600">
        <v>62.7</v>
      </c>
      <c r="E116" s="600">
        <v>63</v>
      </c>
      <c r="F116" s="600">
        <v>63.4</v>
      </c>
      <c r="G116" s="600">
        <v>63.9</v>
      </c>
      <c r="H116" s="600">
        <v>64.5</v>
      </c>
      <c r="I116" s="600">
        <v>65</v>
      </c>
      <c r="J116" s="600">
        <v>65.5</v>
      </c>
      <c r="K116" s="600">
        <v>65.900000000000006</v>
      </c>
      <c r="L116" s="600">
        <v>66.5</v>
      </c>
      <c r="M116" s="600">
        <v>67.099999999999994</v>
      </c>
      <c r="N116" s="600">
        <v>67.5</v>
      </c>
      <c r="O116" s="600">
        <v>67.900000000000006</v>
      </c>
      <c r="P116" s="608">
        <f t="shared" si="10"/>
        <v>65.24166666666666</v>
      </c>
      <c r="Q116" s="559">
        <f t="shared" si="11"/>
        <v>7.6299147649161236</v>
      </c>
    </row>
    <row r="117" spans="2:17" x14ac:dyDescent="0.25">
      <c r="C117" s="311">
        <v>1979</v>
      </c>
      <c r="D117" s="600">
        <v>68.5</v>
      </c>
      <c r="E117" s="600">
        <v>69.2</v>
      </c>
      <c r="F117" s="600">
        <v>69.900000000000006</v>
      </c>
      <c r="G117" s="600">
        <v>70.599999999999994</v>
      </c>
      <c r="H117" s="600">
        <v>71.400000000000006</v>
      </c>
      <c r="I117" s="600">
        <v>72.2</v>
      </c>
      <c r="J117" s="600">
        <v>73</v>
      </c>
      <c r="K117" s="600">
        <v>73.7</v>
      </c>
      <c r="L117" s="600">
        <v>74.400000000000006</v>
      </c>
      <c r="M117" s="600">
        <v>75.2</v>
      </c>
      <c r="N117" s="600">
        <v>76</v>
      </c>
      <c r="O117" s="600">
        <v>76.900000000000006</v>
      </c>
      <c r="P117" s="608">
        <f t="shared" si="10"/>
        <v>72.583333333333329</v>
      </c>
      <c r="Q117" s="559">
        <f t="shared" si="11"/>
        <v>11.253033593051477</v>
      </c>
    </row>
    <row r="118" spans="2:17" x14ac:dyDescent="0.25">
      <c r="C118" s="597">
        <v>1980</v>
      </c>
      <c r="D118" s="598">
        <v>78</v>
      </c>
      <c r="E118" s="598">
        <v>79</v>
      </c>
      <c r="F118" s="598">
        <v>80.099999999999994</v>
      </c>
      <c r="G118" s="598">
        <v>80.900000000000006</v>
      </c>
      <c r="H118" s="598">
        <v>81.7</v>
      </c>
      <c r="I118" s="598">
        <v>82.5</v>
      </c>
      <c r="J118" s="598">
        <v>82.6</v>
      </c>
      <c r="K118" s="598">
        <v>83.2</v>
      </c>
      <c r="L118" s="598">
        <v>83.9</v>
      </c>
      <c r="M118" s="598">
        <v>84.7</v>
      </c>
      <c r="N118" s="598">
        <v>85.6</v>
      </c>
      <c r="O118" s="598">
        <v>86.4</v>
      </c>
      <c r="P118" s="608">
        <f t="shared" si="10"/>
        <v>82.38333333333334</v>
      </c>
      <c r="Q118" s="559">
        <f t="shared" si="11"/>
        <v>13.501722158438589</v>
      </c>
    </row>
    <row r="119" spans="2:17" x14ac:dyDescent="0.25">
      <c r="C119" s="597">
        <v>1981</v>
      </c>
      <c r="D119" s="598">
        <v>87.2</v>
      </c>
      <c r="E119" s="598">
        <v>88</v>
      </c>
      <c r="F119" s="598">
        <v>88.6</v>
      </c>
      <c r="G119" s="598">
        <v>89.1</v>
      </c>
      <c r="H119" s="598">
        <v>89.7</v>
      </c>
      <c r="I119" s="598">
        <v>90.5</v>
      </c>
      <c r="J119" s="598">
        <v>91.5</v>
      </c>
      <c r="K119" s="598">
        <v>92.2</v>
      </c>
      <c r="L119" s="598">
        <v>93.1</v>
      </c>
      <c r="M119" s="598">
        <v>93.4</v>
      </c>
      <c r="N119" s="598">
        <v>93.8</v>
      </c>
      <c r="O119" s="598">
        <v>94.1</v>
      </c>
      <c r="P119" s="608">
        <f t="shared" si="10"/>
        <v>90.933333333333323</v>
      </c>
      <c r="Q119" s="559">
        <f t="shared" si="11"/>
        <v>10.378312765526987</v>
      </c>
    </row>
    <row r="120" spans="2:17" x14ac:dyDescent="0.25">
      <c r="C120" s="597">
        <v>1982</v>
      </c>
      <c r="D120" s="598">
        <v>94.4</v>
      </c>
      <c r="E120" s="598">
        <v>94.7</v>
      </c>
      <c r="F120" s="598">
        <v>94.7</v>
      </c>
      <c r="G120" s="598">
        <v>95</v>
      </c>
      <c r="H120" s="598">
        <v>95.9</v>
      </c>
      <c r="I120" s="598">
        <v>97</v>
      </c>
      <c r="J120" s="598">
        <v>97.5</v>
      </c>
      <c r="K120" s="598">
        <v>97.7</v>
      </c>
      <c r="L120" s="598">
        <v>97.7</v>
      </c>
      <c r="M120" s="598">
        <v>98.1</v>
      </c>
      <c r="N120" s="598">
        <v>98</v>
      </c>
      <c r="O120" s="598">
        <v>97.7</v>
      </c>
      <c r="P120" s="608">
        <f t="shared" si="10"/>
        <v>96.53333333333336</v>
      </c>
      <c r="Q120" s="559">
        <f t="shared" si="11"/>
        <v>6.158357771261036</v>
      </c>
    </row>
    <row r="121" spans="2:17" x14ac:dyDescent="0.25">
      <c r="C121" s="597">
        <v>1983</v>
      </c>
      <c r="D121" s="598">
        <v>97.9</v>
      </c>
      <c r="E121" s="598">
        <v>98</v>
      </c>
      <c r="F121" s="598">
        <v>98.1</v>
      </c>
      <c r="G121" s="598">
        <v>98.8</v>
      </c>
      <c r="H121" s="598">
        <v>99.2</v>
      </c>
      <c r="I121" s="598">
        <v>99.4</v>
      </c>
      <c r="J121" s="598">
        <v>99.8</v>
      </c>
      <c r="K121" s="598">
        <v>100.1</v>
      </c>
      <c r="L121" s="598">
        <v>100.4</v>
      </c>
      <c r="M121" s="598">
        <v>100.8</v>
      </c>
      <c r="N121" s="598">
        <v>101.1</v>
      </c>
      <c r="O121" s="598">
        <v>101.4</v>
      </c>
      <c r="P121" s="608">
        <f t="shared" si="10"/>
        <v>99.583333333333329</v>
      </c>
      <c r="Q121" s="559">
        <f t="shared" si="11"/>
        <v>3.1595303867403057</v>
      </c>
    </row>
    <row r="122" spans="2:17" x14ac:dyDescent="0.25">
      <c r="C122" s="597">
        <v>1984</v>
      </c>
      <c r="D122" s="598">
        <v>102.1</v>
      </c>
      <c r="E122" s="598">
        <v>102.6</v>
      </c>
      <c r="F122" s="598">
        <v>102.9</v>
      </c>
      <c r="G122" s="598">
        <v>103.3</v>
      </c>
      <c r="H122" s="598">
        <v>103.5</v>
      </c>
      <c r="I122" s="598">
        <v>103.7</v>
      </c>
      <c r="J122" s="598">
        <v>104.1</v>
      </c>
      <c r="K122" s="598">
        <v>104.4</v>
      </c>
      <c r="L122" s="598">
        <v>104.7</v>
      </c>
      <c r="M122" s="598">
        <v>105.1</v>
      </c>
      <c r="N122" s="598">
        <v>105.3</v>
      </c>
      <c r="O122" s="598">
        <v>105.5</v>
      </c>
      <c r="P122" s="608">
        <f t="shared" si="10"/>
        <v>103.93333333333334</v>
      </c>
      <c r="Q122" s="559">
        <f t="shared" si="11"/>
        <v>4.368200836820102</v>
      </c>
    </row>
    <row r="123" spans="2:17" x14ac:dyDescent="0.25">
      <c r="C123" s="311">
        <v>1985</v>
      </c>
      <c r="D123" s="600">
        <v>105.7</v>
      </c>
      <c r="E123" s="600">
        <v>106.3</v>
      </c>
      <c r="F123" s="600">
        <v>106.8</v>
      </c>
      <c r="G123" s="600">
        <v>107</v>
      </c>
      <c r="H123" s="600">
        <v>107.2</v>
      </c>
      <c r="I123" s="600">
        <v>107.5</v>
      </c>
      <c r="J123" s="600">
        <v>107.7</v>
      </c>
      <c r="K123" s="600">
        <v>107.9</v>
      </c>
      <c r="L123" s="600">
        <v>108.1</v>
      </c>
      <c r="M123" s="600">
        <v>108.5</v>
      </c>
      <c r="N123" s="600">
        <v>109</v>
      </c>
      <c r="O123" s="600">
        <v>109.5</v>
      </c>
      <c r="P123" s="608">
        <f t="shared" si="10"/>
        <v>107.60000000000001</v>
      </c>
      <c r="Q123" s="559">
        <f t="shared" si="11"/>
        <v>3.527902501603597</v>
      </c>
    </row>
    <row r="124" spans="2:17" x14ac:dyDescent="0.25">
      <c r="C124" s="311">
        <v>1986</v>
      </c>
      <c r="D124" s="600">
        <v>109.9</v>
      </c>
      <c r="E124" s="600">
        <v>109.7</v>
      </c>
      <c r="F124" s="600">
        <v>109.1</v>
      </c>
      <c r="G124" s="600">
        <v>108.7</v>
      </c>
      <c r="H124" s="600">
        <v>109</v>
      </c>
      <c r="I124" s="600">
        <v>109.4</v>
      </c>
      <c r="J124" s="600">
        <v>109.5</v>
      </c>
      <c r="K124" s="600">
        <v>109.6</v>
      </c>
      <c r="L124" s="600">
        <v>110</v>
      </c>
      <c r="M124" s="600">
        <v>110.2</v>
      </c>
      <c r="N124" s="600">
        <v>110.4</v>
      </c>
      <c r="O124" s="600">
        <v>110.8</v>
      </c>
      <c r="P124" s="608">
        <f t="shared" si="10"/>
        <v>109.69166666666668</v>
      </c>
      <c r="Q124" s="559">
        <f t="shared" si="11"/>
        <v>1.9439281288723631</v>
      </c>
    </row>
    <row r="125" spans="2:17" x14ac:dyDescent="0.25">
      <c r="C125" s="311">
        <v>1987</v>
      </c>
      <c r="D125" s="600">
        <v>111.4</v>
      </c>
      <c r="E125" s="600">
        <v>111.8</v>
      </c>
      <c r="F125" s="600">
        <v>112.2</v>
      </c>
      <c r="G125" s="600">
        <v>112.7</v>
      </c>
      <c r="H125" s="600">
        <v>113</v>
      </c>
      <c r="I125" s="600">
        <v>113.5</v>
      </c>
      <c r="J125" s="600">
        <v>113.8</v>
      </c>
      <c r="K125" s="600">
        <v>114.3</v>
      </c>
      <c r="L125" s="600">
        <v>114.7</v>
      </c>
      <c r="M125" s="600">
        <v>115</v>
      </c>
      <c r="N125" s="600">
        <v>115.4</v>
      </c>
      <c r="O125" s="600">
        <v>115.6</v>
      </c>
      <c r="P125" s="608">
        <f t="shared" si="10"/>
        <v>113.61666666666666</v>
      </c>
      <c r="Q125" s="559">
        <f t="shared" si="11"/>
        <v>3.5782116538782827</v>
      </c>
    </row>
    <row r="126" spans="2:17" x14ac:dyDescent="0.25">
      <c r="C126" s="311">
        <v>1988</v>
      </c>
      <c r="D126" s="600">
        <v>116</v>
      </c>
      <c r="E126" s="600">
        <v>116.2</v>
      </c>
      <c r="F126" s="600">
        <v>116.5</v>
      </c>
      <c r="G126" s="600">
        <v>117.2</v>
      </c>
      <c r="H126" s="600">
        <v>117.5</v>
      </c>
      <c r="I126" s="600">
        <v>118</v>
      </c>
      <c r="J126" s="600">
        <v>118.5</v>
      </c>
      <c r="K126" s="600">
        <v>119</v>
      </c>
      <c r="L126" s="600">
        <v>119.5</v>
      </c>
      <c r="M126" s="600">
        <v>119.9</v>
      </c>
      <c r="N126" s="600">
        <v>120.3</v>
      </c>
      <c r="O126" s="600">
        <v>120.7</v>
      </c>
      <c r="P126" s="608">
        <f t="shared" si="10"/>
        <v>118.27500000000002</v>
      </c>
      <c r="Q126" s="559">
        <f t="shared" si="11"/>
        <v>4.1000440076280231</v>
      </c>
    </row>
    <row r="127" spans="2:17" x14ac:dyDescent="0.25">
      <c r="C127" s="311">
        <v>1989</v>
      </c>
      <c r="D127" s="600">
        <v>121.2</v>
      </c>
      <c r="E127" s="600">
        <v>121.6</v>
      </c>
      <c r="F127" s="600">
        <v>122.2</v>
      </c>
      <c r="G127" s="600">
        <v>123.1</v>
      </c>
      <c r="H127" s="600">
        <v>123.7</v>
      </c>
      <c r="I127" s="600">
        <v>124.1</v>
      </c>
      <c r="J127" s="600">
        <v>124.5</v>
      </c>
      <c r="K127" s="600">
        <v>124.5</v>
      </c>
      <c r="L127" s="600">
        <v>124.8</v>
      </c>
      <c r="M127" s="600">
        <v>125.4</v>
      </c>
      <c r="N127" s="600">
        <v>125.9</v>
      </c>
      <c r="O127" s="600">
        <v>126.3</v>
      </c>
      <c r="P127" s="608">
        <f t="shared" si="10"/>
        <v>123.94166666666668</v>
      </c>
      <c r="Q127" s="559">
        <f t="shared" si="11"/>
        <v>4.7910942013668523</v>
      </c>
    </row>
    <row r="128" spans="2:17" x14ac:dyDescent="0.25">
      <c r="C128" s="597">
        <v>1990</v>
      </c>
      <c r="D128" s="598">
        <v>127.5</v>
      </c>
      <c r="E128" s="598">
        <v>128</v>
      </c>
      <c r="F128" s="598">
        <v>128.6</v>
      </c>
      <c r="G128" s="598">
        <v>128.9</v>
      </c>
      <c r="H128" s="598">
        <v>129.1</v>
      </c>
      <c r="I128" s="598">
        <v>129.9</v>
      </c>
      <c r="J128" s="598">
        <v>130.5</v>
      </c>
      <c r="K128" s="598">
        <v>131.6</v>
      </c>
      <c r="L128" s="598">
        <v>132.5</v>
      </c>
      <c r="M128" s="598">
        <v>133.4</v>
      </c>
      <c r="N128" s="598">
        <v>133.69999999999999</v>
      </c>
      <c r="O128" s="598">
        <v>134.19999999999999</v>
      </c>
      <c r="P128" s="608">
        <f t="shared" si="10"/>
        <v>130.65833333333333</v>
      </c>
      <c r="Q128" s="559">
        <f t="shared" si="11"/>
        <v>5.4192160290459146</v>
      </c>
    </row>
    <row r="129" spans="3:17" x14ac:dyDescent="0.25">
      <c r="C129" s="597">
        <v>1991</v>
      </c>
      <c r="D129" s="598">
        <v>134.69999999999999</v>
      </c>
      <c r="E129" s="598">
        <v>134.80000000000001</v>
      </c>
      <c r="F129" s="598">
        <v>134.80000000000001</v>
      </c>
      <c r="G129" s="598">
        <v>135.1</v>
      </c>
      <c r="H129" s="598">
        <v>135.6</v>
      </c>
      <c r="I129" s="598">
        <v>136</v>
      </c>
      <c r="J129" s="598">
        <v>136.19999999999999</v>
      </c>
      <c r="K129" s="598">
        <v>136.6</v>
      </c>
      <c r="L129" s="598">
        <v>137</v>
      </c>
      <c r="M129" s="598">
        <v>137.19999999999999</v>
      </c>
      <c r="N129" s="598">
        <v>137.80000000000001</v>
      </c>
      <c r="O129" s="598">
        <v>138.19999999999999</v>
      </c>
      <c r="P129" s="608">
        <f t="shared" si="10"/>
        <v>136.16666666666666</v>
      </c>
      <c r="Q129" s="559">
        <f t="shared" si="11"/>
        <v>4.2158300912047864</v>
      </c>
    </row>
    <row r="130" spans="3:17" x14ac:dyDescent="0.25">
      <c r="C130" s="597">
        <v>1992</v>
      </c>
      <c r="D130" s="598">
        <v>138.30000000000001</v>
      </c>
      <c r="E130" s="598">
        <v>138.6</v>
      </c>
      <c r="F130" s="598">
        <v>139.1</v>
      </c>
      <c r="G130" s="598">
        <v>139.4</v>
      </c>
      <c r="H130" s="598">
        <v>139.69999999999999</v>
      </c>
      <c r="I130" s="598">
        <v>140.1</v>
      </c>
      <c r="J130" s="598">
        <v>140.5</v>
      </c>
      <c r="K130" s="598">
        <v>140.80000000000001</v>
      </c>
      <c r="L130" s="598">
        <v>141.1</v>
      </c>
      <c r="M130" s="598">
        <v>141.69999999999999</v>
      </c>
      <c r="N130" s="598">
        <v>142.1</v>
      </c>
      <c r="O130" s="598">
        <v>142.30000000000001</v>
      </c>
      <c r="P130" s="608">
        <f t="shared" si="10"/>
        <v>140.30833333333331</v>
      </c>
      <c r="Q130" s="559">
        <f t="shared" si="11"/>
        <v>3.0416156670746597</v>
      </c>
    </row>
    <row r="131" spans="3:17" x14ac:dyDescent="0.25">
      <c r="C131" s="597">
        <v>1993</v>
      </c>
      <c r="D131" s="598">
        <v>142.80000000000001</v>
      </c>
      <c r="E131" s="598">
        <v>143.1</v>
      </c>
      <c r="F131" s="598">
        <v>143.30000000000001</v>
      </c>
      <c r="G131" s="598">
        <v>143.80000000000001</v>
      </c>
      <c r="H131" s="598">
        <v>144.19999999999999</v>
      </c>
      <c r="I131" s="598">
        <v>144.30000000000001</v>
      </c>
      <c r="J131" s="598">
        <v>144.5</v>
      </c>
      <c r="K131" s="598">
        <v>144.80000000000001</v>
      </c>
      <c r="L131" s="598">
        <v>145</v>
      </c>
      <c r="M131" s="598">
        <v>145.6</v>
      </c>
      <c r="N131" s="598">
        <v>146</v>
      </c>
      <c r="O131" s="598">
        <v>146.30000000000001</v>
      </c>
      <c r="P131" s="608">
        <f t="shared" si="10"/>
        <v>144.47499999999999</v>
      </c>
      <c r="Q131" s="559">
        <f t="shared" si="11"/>
        <v>2.9696501752093818</v>
      </c>
    </row>
    <row r="132" spans="3:17" x14ac:dyDescent="0.25">
      <c r="C132" s="597">
        <v>1994</v>
      </c>
      <c r="D132" s="598">
        <v>146.30000000000001</v>
      </c>
      <c r="E132" s="598">
        <v>146.69999999999999</v>
      </c>
      <c r="F132" s="598">
        <v>147.1</v>
      </c>
      <c r="G132" s="598">
        <v>147.19999999999999</v>
      </c>
      <c r="H132" s="598">
        <v>147.5</v>
      </c>
      <c r="I132" s="598">
        <v>147.9</v>
      </c>
      <c r="J132" s="598">
        <v>148.4</v>
      </c>
      <c r="K132" s="598">
        <v>149</v>
      </c>
      <c r="L132" s="598">
        <v>149.30000000000001</v>
      </c>
      <c r="M132" s="598">
        <v>149.4</v>
      </c>
      <c r="N132" s="598">
        <v>149.80000000000001</v>
      </c>
      <c r="O132" s="598">
        <v>150.1</v>
      </c>
      <c r="P132" s="608">
        <f t="shared" si="10"/>
        <v>148.22499999999999</v>
      </c>
      <c r="Q132" s="559">
        <f t="shared" si="11"/>
        <v>2.5956047759127854</v>
      </c>
    </row>
    <row r="133" spans="3:17" x14ac:dyDescent="0.25">
      <c r="C133" s="311">
        <v>1995</v>
      </c>
      <c r="D133" s="600">
        <v>150.5</v>
      </c>
      <c r="E133" s="600">
        <v>150.9</v>
      </c>
      <c r="F133" s="600">
        <v>151.19999999999999</v>
      </c>
      <c r="G133" s="600">
        <v>151.80000000000001</v>
      </c>
      <c r="H133" s="600">
        <v>152.1</v>
      </c>
      <c r="I133" s="600">
        <v>152.4</v>
      </c>
      <c r="J133" s="600">
        <v>152.6</v>
      </c>
      <c r="K133" s="600">
        <v>152.9</v>
      </c>
      <c r="L133" s="600">
        <v>153.1</v>
      </c>
      <c r="M133" s="600">
        <v>153.5</v>
      </c>
      <c r="N133" s="600">
        <v>153.69999999999999</v>
      </c>
      <c r="O133" s="600">
        <v>153.9</v>
      </c>
      <c r="P133" s="608">
        <f t="shared" si="10"/>
        <v>152.38333333333335</v>
      </c>
      <c r="Q133" s="559">
        <f t="shared" si="11"/>
        <v>2.8054196885365812</v>
      </c>
    </row>
    <row r="134" spans="3:17" x14ac:dyDescent="0.25">
      <c r="C134" s="311">
        <v>1996</v>
      </c>
      <c r="D134" s="600">
        <v>154.69999999999999</v>
      </c>
      <c r="E134" s="600">
        <v>155</v>
      </c>
      <c r="F134" s="600">
        <v>155.5</v>
      </c>
      <c r="G134" s="600">
        <v>156.1</v>
      </c>
      <c r="H134" s="600">
        <v>156.4</v>
      </c>
      <c r="I134" s="600">
        <v>156.69999999999999</v>
      </c>
      <c r="J134" s="600">
        <v>157</v>
      </c>
      <c r="K134" s="600">
        <v>157.19999999999999</v>
      </c>
      <c r="L134" s="600">
        <v>157.69999999999999</v>
      </c>
      <c r="M134" s="600">
        <v>158.19999999999999</v>
      </c>
      <c r="N134" s="600">
        <v>158.69999999999999</v>
      </c>
      <c r="O134" s="600">
        <v>159.1</v>
      </c>
      <c r="P134" s="608">
        <f t="shared" si="10"/>
        <v>156.85833333333332</v>
      </c>
      <c r="Q134" s="559">
        <f t="shared" si="11"/>
        <v>2.936672864486467</v>
      </c>
    </row>
    <row r="135" spans="3:17" x14ac:dyDescent="0.25">
      <c r="C135" s="311">
        <v>1997</v>
      </c>
      <c r="D135" s="600">
        <v>159.4</v>
      </c>
      <c r="E135" s="600">
        <v>159.69999999999999</v>
      </c>
      <c r="F135" s="600">
        <v>159.80000000000001</v>
      </c>
      <c r="G135" s="600">
        <v>159.9</v>
      </c>
      <c r="H135" s="600">
        <v>159.9</v>
      </c>
      <c r="I135" s="600">
        <v>160.19999999999999</v>
      </c>
      <c r="J135" s="600">
        <v>160.4</v>
      </c>
      <c r="K135" s="600">
        <v>160.80000000000001</v>
      </c>
      <c r="L135" s="600">
        <v>161.19999999999999</v>
      </c>
      <c r="M135" s="600">
        <v>161.5</v>
      </c>
      <c r="N135" s="600">
        <v>161.69999999999999</v>
      </c>
      <c r="O135" s="600">
        <v>161.80000000000001</v>
      </c>
      <c r="P135" s="608">
        <f t="shared" si="10"/>
        <v>160.52500000000001</v>
      </c>
      <c r="Q135" s="559">
        <f t="shared" si="11"/>
        <v>2.3375657440365627</v>
      </c>
    </row>
    <row r="136" spans="3:17" x14ac:dyDescent="0.25">
      <c r="C136" s="311">
        <v>1998</v>
      </c>
      <c r="D136" s="600">
        <v>162</v>
      </c>
      <c r="E136" s="600">
        <v>162</v>
      </c>
      <c r="F136" s="600">
        <v>162</v>
      </c>
      <c r="G136" s="600">
        <v>162.19999999999999</v>
      </c>
      <c r="H136" s="600">
        <v>162.6</v>
      </c>
      <c r="I136" s="600">
        <v>162.80000000000001</v>
      </c>
      <c r="J136" s="600">
        <v>163.19999999999999</v>
      </c>
      <c r="K136" s="600">
        <v>163.4</v>
      </c>
      <c r="L136" s="600">
        <v>163.5</v>
      </c>
      <c r="M136" s="600">
        <v>163.9</v>
      </c>
      <c r="N136" s="600">
        <v>164.1</v>
      </c>
      <c r="O136" s="600">
        <v>164.4</v>
      </c>
      <c r="P136" s="608">
        <f t="shared" si="10"/>
        <v>163.00833333333335</v>
      </c>
      <c r="Q136" s="559">
        <f t="shared" si="11"/>
        <v>1.5470072159061488</v>
      </c>
    </row>
    <row r="137" spans="3:17" x14ac:dyDescent="0.25">
      <c r="C137" s="311">
        <v>1999</v>
      </c>
      <c r="D137" s="600">
        <v>164.7</v>
      </c>
      <c r="E137" s="600">
        <v>164.7</v>
      </c>
      <c r="F137" s="600">
        <v>164.8</v>
      </c>
      <c r="G137" s="600">
        <v>165.9</v>
      </c>
      <c r="H137" s="600">
        <v>166</v>
      </c>
      <c r="I137" s="600">
        <v>166</v>
      </c>
      <c r="J137" s="600">
        <v>166.7</v>
      </c>
      <c r="K137" s="600">
        <v>167.1</v>
      </c>
      <c r="L137" s="600">
        <v>167.8</v>
      </c>
      <c r="M137" s="600">
        <v>168.1</v>
      </c>
      <c r="N137" s="600">
        <v>168.4</v>
      </c>
      <c r="O137" s="600">
        <v>168.8</v>
      </c>
      <c r="P137" s="608">
        <f t="shared" si="10"/>
        <v>166.58333333333331</v>
      </c>
      <c r="Q137" s="559">
        <f t="shared" si="11"/>
        <v>2.193139410050593</v>
      </c>
    </row>
    <row r="138" spans="3:17" x14ac:dyDescent="0.25">
      <c r="C138" s="597">
        <v>2000</v>
      </c>
      <c r="D138" s="598">
        <v>169.3</v>
      </c>
      <c r="E138" s="598">
        <v>170</v>
      </c>
      <c r="F138" s="598">
        <v>171</v>
      </c>
      <c r="G138" s="598">
        <v>170.9</v>
      </c>
      <c r="H138" s="598">
        <v>171.2</v>
      </c>
      <c r="I138" s="598">
        <v>172.2</v>
      </c>
      <c r="J138" s="598">
        <v>172.7</v>
      </c>
      <c r="K138" s="598">
        <v>172.7</v>
      </c>
      <c r="L138" s="598">
        <v>173.6</v>
      </c>
      <c r="M138" s="598">
        <v>173.9</v>
      </c>
      <c r="N138" s="598">
        <v>174.2</v>
      </c>
      <c r="O138" s="598">
        <v>174.6</v>
      </c>
      <c r="P138" s="608">
        <f t="shared" si="10"/>
        <v>172.19166666666669</v>
      </c>
      <c r="Q138" s="559">
        <f t="shared" si="11"/>
        <v>3.366683341670873</v>
      </c>
    </row>
    <row r="139" spans="3:17" x14ac:dyDescent="0.25">
      <c r="C139" s="597">
        <v>2001</v>
      </c>
      <c r="D139" s="598">
        <v>175.6</v>
      </c>
      <c r="E139" s="598">
        <v>176</v>
      </c>
      <c r="F139" s="598">
        <v>176.1</v>
      </c>
      <c r="G139" s="598">
        <v>176.4</v>
      </c>
      <c r="H139" s="598">
        <v>177.3</v>
      </c>
      <c r="I139" s="598">
        <v>177.7</v>
      </c>
      <c r="J139" s="598">
        <v>177.4</v>
      </c>
      <c r="K139" s="598">
        <v>177.4</v>
      </c>
      <c r="L139" s="598">
        <v>178.1</v>
      </c>
      <c r="M139" s="598">
        <v>177.6</v>
      </c>
      <c r="N139" s="598">
        <v>177.5</v>
      </c>
      <c r="O139" s="598">
        <v>177.4</v>
      </c>
      <c r="P139" s="608">
        <f t="shared" si="10"/>
        <v>177.04166666666666</v>
      </c>
      <c r="Q139" s="559">
        <f t="shared" si="11"/>
        <v>2.8166287567148895</v>
      </c>
    </row>
    <row r="140" spans="3:17" x14ac:dyDescent="0.25">
      <c r="C140" s="597">
        <v>2002</v>
      </c>
      <c r="D140" s="598">
        <v>177.7</v>
      </c>
      <c r="E140" s="598">
        <v>178</v>
      </c>
      <c r="F140" s="598">
        <v>178.5</v>
      </c>
      <c r="G140" s="598">
        <v>179.3</v>
      </c>
      <c r="H140" s="598">
        <v>179.5</v>
      </c>
      <c r="I140" s="598">
        <v>179.6</v>
      </c>
      <c r="J140" s="598">
        <v>180</v>
      </c>
      <c r="K140" s="598">
        <v>180.5</v>
      </c>
      <c r="L140" s="598">
        <v>180.8</v>
      </c>
      <c r="M140" s="598">
        <v>181.2</v>
      </c>
      <c r="N140" s="598">
        <v>181.5</v>
      </c>
      <c r="O140" s="598">
        <v>181.8</v>
      </c>
      <c r="P140" s="608">
        <f t="shared" si="10"/>
        <v>179.86666666666667</v>
      </c>
      <c r="Q140" s="559">
        <f t="shared" si="11"/>
        <v>1.5956695693104317</v>
      </c>
    </row>
    <row r="141" spans="3:17" x14ac:dyDescent="0.25">
      <c r="C141" s="597">
        <v>2003</v>
      </c>
      <c r="D141" s="598">
        <v>182.6</v>
      </c>
      <c r="E141" s="598">
        <v>183.6</v>
      </c>
      <c r="F141" s="598">
        <v>183.9</v>
      </c>
      <c r="G141" s="598">
        <v>183.2</v>
      </c>
      <c r="H141" s="598">
        <v>182.9</v>
      </c>
      <c r="I141" s="598">
        <v>183.1</v>
      </c>
      <c r="J141" s="598">
        <v>183.7</v>
      </c>
      <c r="K141" s="598">
        <v>184.5</v>
      </c>
      <c r="L141" s="598">
        <v>185.1</v>
      </c>
      <c r="M141" s="598">
        <v>184.9</v>
      </c>
      <c r="N141" s="598">
        <v>185</v>
      </c>
      <c r="O141" s="598">
        <v>185.5</v>
      </c>
      <c r="P141" s="608">
        <f t="shared" si="10"/>
        <v>184</v>
      </c>
      <c r="Q141" s="559">
        <f t="shared" si="11"/>
        <v>2.2979985174202966</v>
      </c>
    </row>
    <row r="142" spans="3:17" x14ac:dyDescent="0.25">
      <c r="C142" s="597">
        <v>2004</v>
      </c>
      <c r="D142" s="598">
        <v>186.3</v>
      </c>
      <c r="E142" s="598">
        <v>186.7</v>
      </c>
      <c r="F142" s="598">
        <v>187.1</v>
      </c>
      <c r="G142" s="598">
        <v>187.4</v>
      </c>
      <c r="H142" s="598">
        <v>188.2</v>
      </c>
      <c r="I142" s="598">
        <v>188.9</v>
      </c>
      <c r="J142" s="598">
        <v>189.1</v>
      </c>
      <c r="K142" s="598">
        <v>189.2</v>
      </c>
      <c r="L142" s="598">
        <v>189.8</v>
      </c>
      <c r="M142" s="598">
        <v>190.8</v>
      </c>
      <c r="N142" s="598">
        <v>191.7</v>
      </c>
      <c r="O142" s="598">
        <v>191.7</v>
      </c>
      <c r="P142" s="608">
        <f t="shared" si="10"/>
        <v>188.9083333333333</v>
      </c>
      <c r="Q142" s="559">
        <f t="shared" si="11"/>
        <v>2.6675724637680975</v>
      </c>
    </row>
    <row r="143" spans="3:17" x14ac:dyDescent="0.25">
      <c r="C143" s="311">
        <v>2005</v>
      </c>
      <c r="D143" s="600">
        <v>191.6</v>
      </c>
      <c r="E143" s="600">
        <v>192.4</v>
      </c>
      <c r="F143" s="600">
        <v>193.1</v>
      </c>
      <c r="G143" s="600">
        <v>193.7</v>
      </c>
      <c r="H143" s="600">
        <v>193.6</v>
      </c>
      <c r="I143" s="600">
        <v>193.7</v>
      </c>
      <c r="J143" s="600">
        <v>194.9</v>
      </c>
      <c r="K143" s="600">
        <v>196.1</v>
      </c>
      <c r="L143" s="600">
        <v>198.8</v>
      </c>
      <c r="M143" s="600">
        <v>199.1</v>
      </c>
      <c r="N143" s="600">
        <v>198.1</v>
      </c>
      <c r="O143" s="600">
        <v>198.1</v>
      </c>
      <c r="P143" s="608">
        <f t="shared" si="10"/>
        <v>195.26666666666665</v>
      </c>
      <c r="Q143" s="559">
        <f t="shared" si="11"/>
        <v>3.3658299880894749</v>
      </c>
    </row>
    <row r="144" spans="3:17" x14ac:dyDescent="0.25">
      <c r="C144" s="311">
        <v>2006</v>
      </c>
      <c r="D144" s="600">
        <v>199.3</v>
      </c>
      <c r="E144" s="600">
        <v>199.4</v>
      </c>
      <c r="F144" s="600">
        <v>199.7</v>
      </c>
      <c r="G144" s="600">
        <v>200.7</v>
      </c>
      <c r="H144" s="600">
        <v>201.3</v>
      </c>
      <c r="I144" s="600">
        <v>201.8</v>
      </c>
      <c r="J144" s="600">
        <v>202.9</v>
      </c>
      <c r="K144" s="600">
        <v>203.8</v>
      </c>
      <c r="L144" s="600">
        <v>202.8</v>
      </c>
      <c r="M144" s="600">
        <v>201.9</v>
      </c>
      <c r="N144" s="600">
        <v>202</v>
      </c>
      <c r="O144" s="600">
        <v>203.1</v>
      </c>
      <c r="P144" s="608">
        <f t="shared" si="10"/>
        <v>201.55833333333337</v>
      </c>
      <c r="Q144" s="559">
        <f t="shared" si="11"/>
        <v>3.2220894503243613</v>
      </c>
    </row>
    <row r="145" spans="2:23" x14ac:dyDescent="0.25">
      <c r="C145" s="311">
        <v>2007</v>
      </c>
      <c r="D145" s="600">
        <v>203.43700000000001</v>
      </c>
      <c r="E145" s="600">
        <v>204.226</v>
      </c>
      <c r="F145" s="600">
        <v>205.28800000000001</v>
      </c>
      <c r="G145" s="600">
        <v>205.904</v>
      </c>
      <c r="H145" s="600">
        <v>206.755</v>
      </c>
      <c r="I145" s="600">
        <v>207.23400000000001</v>
      </c>
      <c r="J145" s="600">
        <v>207.60300000000001</v>
      </c>
      <c r="K145" s="600">
        <v>207.667</v>
      </c>
      <c r="L145" s="600">
        <v>208.547</v>
      </c>
      <c r="M145" s="600">
        <v>209.19</v>
      </c>
      <c r="N145" s="600">
        <v>210.834</v>
      </c>
      <c r="O145" s="600">
        <v>211.44499999999999</v>
      </c>
      <c r="P145" s="608">
        <f t="shared" si="10"/>
        <v>207.34416666666667</v>
      </c>
      <c r="Q145" s="559">
        <f t="shared" si="11"/>
        <v>2.8705502956133389</v>
      </c>
    </row>
    <row r="146" spans="2:23" x14ac:dyDescent="0.25">
      <c r="C146" s="311">
        <v>2008</v>
      </c>
      <c r="D146" s="600">
        <v>212.17400000000001</v>
      </c>
      <c r="E146" s="600">
        <v>212.68700000000001</v>
      </c>
      <c r="F146" s="600">
        <v>213.44800000000001</v>
      </c>
      <c r="G146" s="600">
        <v>213.94200000000001</v>
      </c>
      <c r="H146" s="600">
        <v>215.208</v>
      </c>
      <c r="I146" s="600">
        <v>217.46299999999999</v>
      </c>
      <c r="J146" s="600">
        <v>219.01599999999999</v>
      </c>
      <c r="K146" s="600">
        <v>218.69</v>
      </c>
      <c r="L146" s="600">
        <v>218.87700000000001</v>
      </c>
      <c r="M146" s="600">
        <v>216.995</v>
      </c>
      <c r="N146" s="600">
        <v>213.15299999999999</v>
      </c>
      <c r="O146" s="600">
        <v>211.398</v>
      </c>
      <c r="P146" s="608">
        <f t="shared" si="10"/>
        <v>215.25424999999998</v>
      </c>
      <c r="Q146" s="559">
        <f t="shared" si="11"/>
        <v>3.8149533987371864</v>
      </c>
    </row>
    <row r="147" spans="2:23" x14ac:dyDescent="0.25">
      <c r="C147" s="311">
        <v>2009</v>
      </c>
      <c r="D147" s="600">
        <v>211.93299999999999</v>
      </c>
      <c r="E147" s="600">
        <v>212.70500000000001</v>
      </c>
      <c r="F147" s="600">
        <v>212.495</v>
      </c>
      <c r="G147" s="600">
        <v>212.709</v>
      </c>
      <c r="H147" s="600">
        <v>213.02199999999999</v>
      </c>
      <c r="I147" s="600">
        <v>214.79</v>
      </c>
      <c r="J147" s="600">
        <v>214.726</v>
      </c>
      <c r="K147" s="600">
        <v>215.44499999999999</v>
      </c>
      <c r="L147" s="600">
        <v>215.86099999999999</v>
      </c>
      <c r="M147" s="600">
        <v>216.50899999999999</v>
      </c>
      <c r="N147" s="600">
        <v>217.23400000000001</v>
      </c>
      <c r="O147" s="600">
        <v>217.34700000000001</v>
      </c>
      <c r="P147" s="608">
        <f t="shared" si="10"/>
        <v>214.56466666666668</v>
      </c>
      <c r="Q147" s="559">
        <f t="shared" si="11"/>
        <v>-0.32035759262978303</v>
      </c>
      <c r="V147" s="604"/>
      <c r="W147" s="607"/>
    </row>
    <row r="148" spans="2:23" x14ac:dyDescent="0.25">
      <c r="C148" s="597">
        <v>2010</v>
      </c>
      <c r="D148" s="598">
        <v>217.488</v>
      </c>
      <c r="E148" s="598">
        <v>217.28100000000001</v>
      </c>
      <c r="F148" s="598">
        <v>217.35300000000001</v>
      </c>
      <c r="G148" s="598">
        <v>217.40299999999999</v>
      </c>
      <c r="H148" s="598">
        <v>217.29</v>
      </c>
      <c r="I148" s="598">
        <v>217.19900000000001</v>
      </c>
      <c r="J148" s="598">
        <v>217.60499999999999</v>
      </c>
      <c r="K148" s="598">
        <v>217.923</v>
      </c>
      <c r="L148" s="598">
        <v>218.27500000000001</v>
      </c>
      <c r="M148" s="598">
        <v>219.035</v>
      </c>
      <c r="N148" s="598">
        <v>219.59</v>
      </c>
      <c r="O148" s="598">
        <v>220.47200000000001</v>
      </c>
      <c r="P148" s="608">
        <f t="shared" si="10"/>
        <v>218.07616666666672</v>
      </c>
      <c r="Q148" s="559">
        <f t="shared" si="11"/>
        <v>1.6365695501278754</v>
      </c>
      <c r="V148" s="604"/>
      <c r="W148" s="605"/>
    </row>
    <row r="149" spans="2:23" x14ac:dyDescent="0.25">
      <c r="C149" s="597">
        <v>2011</v>
      </c>
      <c r="D149" s="598">
        <v>221.18700000000001</v>
      </c>
      <c r="E149" s="598">
        <v>221.898</v>
      </c>
      <c r="F149" s="598">
        <v>223.04599999999999</v>
      </c>
      <c r="G149" s="598">
        <v>224.09299999999999</v>
      </c>
      <c r="H149" s="598">
        <v>224.80600000000001</v>
      </c>
      <c r="I149" s="598">
        <v>224.80600000000001</v>
      </c>
      <c r="J149" s="598">
        <v>225.39500000000001</v>
      </c>
      <c r="K149" s="598">
        <v>226.10599999999999</v>
      </c>
      <c r="L149" s="598">
        <v>226.59700000000001</v>
      </c>
      <c r="M149" s="598">
        <v>226.75</v>
      </c>
      <c r="N149" s="598">
        <v>227.16900000000001</v>
      </c>
      <c r="O149" s="598">
        <v>227.22300000000001</v>
      </c>
      <c r="P149" s="608">
        <f t="shared" si="10"/>
        <v>224.923</v>
      </c>
      <c r="Q149" s="559">
        <f t="shared" si="11"/>
        <v>3.1396522774534974</v>
      </c>
      <c r="R149" s="559"/>
      <c r="V149" s="604"/>
      <c r="W149" s="605"/>
    </row>
    <row r="150" spans="2:23" x14ac:dyDescent="0.25">
      <c r="C150" s="597">
        <v>2012</v>
      </c>
      <c r="D150" s="598">
        <v>227.84200000000001</v>
      </c>
      <c r="E150" s="598">
        <v>228.32900000000001</v>
      </c>
      <c r="F150" s="598">
        <v>228.80699999999999</v>
      </c>
      <c r="G150" s="598">
        <v>229.18700000000001</v>
      </c>
      <c r="H150" s="598">
        <v>228.71299999999999</v>
      </c>
      <c r="I150" s="598">
        <v>228.524</v>
      </c>
      <c r="J150" s="598">
        <v>228.59</v>
      </c>
      <c r="K150" s="598">
        <v>229.91800000000001</v>
      </c>
      <c r="L150" s="598">
        <v>231.01499999999999</v>
      </c>
      <c r="M150" s="598">
        <v>231.63800000000001</v>
      </c>
      <c r="N150" s="598">
        <v>231.249</v>
      </c>
      <c r="O150" s="598">
        <v>231.221</v>
      </c>
      <c r="P150" s="608">
        <f t="shared" si="10"/>
        <v>229.58608333333328</v>
      </c>
      <c r="Q150" s="559">
        <f t="shared" si="11"/>
        <v>2.0731909735034915</v>
      </c>
      <c r="V150" s="604"/>
      <c r="W150" s="605"/>
    </row>
    <row r="151" spans="2:23" x14ac:dyDescent="0.25">
      <c r="C151" s="597">
        <v>2013</v>
      </c>
      <c r="D151" s="598">
        <v>231.61199999999999</v>
      </c>
      <c r="E151" s="598">
        <v>232.98500000000001</v>
      </c>
      <c r="F151" s="598">
        <v>232.29900000000001</v>
      </c>
      <c r="G151" s="598">
        <v>231.79499999999999</v>
      </c>
      <c r="H151" s="598">
        <v>231.916</v>
      </c>
      <c r="I151" s="598">
        <v>232.374</v>
      </c>
      <c r="J151" s="598">
        <v>232.88900000000001</v>
      </c>
      <c r="K151" s="598">
        <v>233.32300000000001</v>
      </c>
      <c r="L151" s="598">
        <v>233.63200000000001</v>
      </c>
      <c r="M151" s="598">
        <v>233.71799999999999</v>
      </c>
      <c r="N151" s="598">
        <v>234.12100000000001</v>
      </c>
      <c r="O151" s="598">
        <v>234.72300000000001</v>
      </c>
      <c r="P151" s="608">
        <f t="shared" si="10"/>
        <v>232.94891666666663</v>
      </c>
      <c r="Q151" s="559">
        <f t="shared" si="11"/>
        <v>1.4647374459761497</v>
      </c>
      <c r="R151" s="559"/>
      <c r="V151" s="604"/>
      <c r="W151" s="605"/>
    </row>
    <row r="152" spans="2:23" x14ac:dyDescent="0.25">
      <c r="C152" s="597">
        <v>2014</v>
      </c>
      <c r="D152" s="598">
        <v>235.38499999999999</v>
      </c>
      <c r="E152" s="610">
        <v>235.672</v>
      </c>
      <c r="F152" s="610">
        <v>235.97800000000001</v>
      </c>
      <c r="G152" s="610">
        <v>236.471</v>
      </c>
      <c r="H152" s="610">
        <v>236.83199999999999</v>
      </c>
      <c r="I152" s="610">
        <v>237.029</v>
      </c>
      <c r="J152" s="610">
        <v>237.42400000000001</v>
      </c>
      <c r="K152" s="610">
        <v>237.256</v>
      </c>
      <c r="L152" s="598">
        <v>237.48599999999999</v>
      </c>
      <c r="M152" s="598">
        <v>237.506</v>
      </c>
      <c r="N152" s="598">
        <v>237.11799999999999</v>
      </c>
      <c r="O152" s="598">
        <v>236.29</v>
      </c>
      <c r="P152" s="608">
        <f t="shared" si="10"/>
        <v>236.70391666666669</v>
      </c>
      <c r="Q152" s="559">
        <f t="shared" si="11"/>
        <v>1.6119413877220046</v>
      </c>
      <c r="V152" s="604"/>
    </row>
    <row r="153" spans="2:23" x14ac:dyDescent="0.25">
      <c r="C153" s="597">
        <v>2015</v>
      </c>
      <c r="D153" s="598">
        <v>234.91300000000001</v>
      </c>
      <c r="E153" s="610">
        <v>235.489</v>
      </c>
      <c r="F153" s="610">
        <v>235.989</v>
      </c>
      <c r="G153" s="610">
        <v>236.20099999999999</v>
      </c>
      <c r="H153" s="610">
        <v>236.89099999999999</v>
      </c>
      <c r="I153" s="610">
        <v>237.41900000000001</v>
      </c>
      <c r="J153" s="610">
        <v>237.876</v>
      </c>
      <c r="K153" s="610">
        <v>237.81100000000001</v>
      </c>
      <c r="L153" s="598">
        <v>237.46700000000001</v>
      </c>
      <c r="M153" s="598">
        <v>237.792</v>
      </c>
      <c r="N153" s="598">
        <v>238.15299999999999</v>
      </c>
      <c r="O153" s="598">
        <v>237.846</v>
      </c>
      <c r="P153" s="608">
        <f t="shared" si="10"/>
        <v>236.98724999999999</v>
      </c>
      <c r="Q153" s="559">
        <f t="shared" si="11"/>
        <v>0.11969946983694246</v>
      </c>
      <c r="V153" s="604"/>
    </row>
    <row r="154" spans="2:23" x14ac:dyDescent="0.25">
      <c r="C154" s="265">
        <v>2016</v>
      </c>
      <c r="D154" s="257">
        <v>238.10599999999999</v>
      </c>
      <c r="E154" s="600">
        <v>237.80799999999999</v>
      </c>
      <c r="F154" s="600">
        <v>238.078</v>
      </c>
      <c r="G154" s="600">
        <v>238.90799999999999</v>
      </c>
      <c r="H154" s="600">
        <v>239.36199999999999</v>
      </c>
      <c r="I154" s="600">
        <v>239.84200000000001</v>
      </c>
      <c r="J154" s="600">
        <v>239.898</v>
      </c>
      <c r="K154" s="600">
        <v>240.38900000000001</v>
      </c>
      <c r="L154" s="600">
        <v>241.006</v>
      </c>
      <c r="M154" s="600">
        <v>241.69399999999999</v>
      </c>
      <c r="N154" s="257">
        <v>242.19900000000001</v>
      </c>
      <c r="O154" s="257">
        <v>242.821</v>
      </c>
      <c r="P154" s="608">
        <f t="shared" si="10"/>
        <v>240.00924999999998</v>
      </c>
      <c r="Q154" s="559">
        <f t="shared" si="11"/>
        <v>1.2751740863696126</v>
      </c>
      <c r="V154" s="604"/>
    </row>
    <row r="155" spans="2:23" x14ac:dyDescent="0.25">
      <c r="C155" s="265">
        <v>2017</v>
      </c>
      <c r="D155" s="257">
        <v>244.02799999999999</v>
      </c>
      <c r="E155" s="600">
        <v>244.102</v>
      </c>
      <c r="F155" s="600">
        <v>243.71700000000001</v>
      </c>
      <c r="G155" s="600">
        <v>244.08699999999999</v>
      </c>
      <c r="H155" s="600">
        <v>243.911</v>
      </c>
      <c r="I155" s="600">
        <v>244.03200000000001</v>
      </c>
      <c r="J155" s="600">
        <v>244.23599999999999</v>
      </c>
      <c r="K155" s="600">
        <v>245.262</v>
      </c>
      <c r="L155" s="600">
        <v>246.392</v>
      </c>
      <c r="M155" s="600">
        <v>246.583</v>
      </c>
      <c r="N155" s="257">
        <v>247.411</v>
      </c>
      <c r="O155" s="257">
        <v>247.91</v>
      </c>
      <c r="P155" s="608">
        <f t="shared" si="10"/>
        <v>245.13924999999998</v>
      </c>
      <c r="Q155" s="559">
        <f t="shared" si="11"/>
        <v>2.1374176203625472</v>
      </c>
      <c r="V155" s="604"/>
    </row>
    <row r="156" spans="2:23" x14ac:dyDescent="0.25">
      <c r="C156" s="265">
        <v>2018</v>
      </c>
      <c r="D156" s="257">
        <v>249.245</v>
      </c>
      <c r="E156" s="600">
        <v>249.619</v>
      </c>
      <c r="F156" s="600">
        <v>249.46199999999999</v>
      </c>
      <c r="G156" s="600">
        <v>250.01300000000001</v>
      </c>
      <c r="H156" s="600">
        <v>250.535</v>
      </c>
      <c r="I156" s="600">
        <v>250.857</v>
      </c>
      <c r="J156" s="600">
        <v>251.286</v>
      </c>
      <c r="K156" s="600">
        <v>251.846</v>
      </c>
      <c r="L156" s="600">
        <v>251.994</v>
      </c>
      <c r="M156" s="600">
        <v>252.827</v>
      </c>
      <c r="N156" s="257">
        <v>252.876</v>
      </c>
      <c r="O156" s="257"/>
      <c r="P156" s="608">
        <f t="shared" si="10"/>
        <v>250.96000000000004</v>
      </c>
      <c r="Q156" s="559">
        <f t="shared" si="11"/>
        <v>2.3744667571594658</v>
      </c>
      <c r="V156" s="604"/>
    </row>
    <row r="157" spans="2:23" x14ac:dyDescent="0.25">
      <c r="V157" s="604"/>
    </row>
    <row r="158" spans="2:23" x14ac:dyDescent="0.25">
      <c r="B158" s="611"/>
      <c r="C158" s="574" t="s">
        <v>238</v>
      </c>
      <c r="D158" s="258" t="s">
        <v>488</v>
      </c>
      <c r="E158" s="258" t="s">
        <v>489</v>
      </c>
      <c r="F158" s="258" t="s">
        <v>490</v>
      </c>
      <c r="G158" s="258" t="s">
        <v>491</v>
      </c>
      <c r="H158" s="258" t="s">
        <v>492</v>
      </c>
      <c r="I158" s="258" t="s">
        <v>449</v>
      </c>
      <c r="J158" s="258" t="s">
        <v>493</v>
      </c>
      <c r="K158" s="258" t="s">
        <v>494</v>
      </c>
      <c r="L158" s="258" t="s">
        <v>495</v>
      </c>
      <c r="M158" s="258" t="s">
        <v>496</v>
      </c>
      <c r="N158" s="258" t="s">
        <v>497</v>
      </c>
      <c r="O158" s="258" t="s">
        <v>498</v>
      </c>
      <c r="P158" s="258" t="s">
        <v>510</v>
      </c>
      <c r="R158" s="257"/>
      <c r="V158" s="604"/>
    </row>
    <row r="159" spans="2:23" x14ac:dyDescent="0.25">
      <c r="B159" s="596" t="s">
        <v>512</v>
      </c>
      <c r="C159" s="612">
        <v>2002</v>
      </c>
      <c r="D159" s="613">
        <v>128.5</v>
      </c>
      <c r="E159" s="613">
        <v>128.4</v>
      </c>
      <c r="F159" s="613">
        <v>129.80000000000001</v>
      </c>
      <c r="G159" s="613">
        <v>130.80000000000001</v>
      </c>
      <c r="H159" s="613">
        <v>130.80000000000001</v>
      </c>
      <c r="I159" s="613">
        <v>130.9</v>
      </c>
      <c r="J159" s="613">
        <v>131.19999999999999</v>
      </c>
      <c r="K159" s="613">
        <v>131.5</v>
      </c>
      <c r="L159" s="613">
        <v>132.30000000000001</v>
      </c>
      <c r="M159" s="613">
        <v>133.19999999999999</v>
      </c>
      <c r="N159" s="613">
        <v>133.1</v>
      </c>
      <c r="O159" s="613">
        <v>132.9</v>
      </c>
      <c r="P159" s="614">
        <f t="shared" ref="P159:P173" si="12">AVERAGE(D159:O159)</f>
        <v>131.11666666666665</v>
      </c>
      <c r="Q159" s="257"/>
      <c r="R159" s="257"/>
      <c r="V159" s="604"/>
    </row>
    <row r="160" spans="2:23" x14ac:dyDescent="0.25">
      <c r="B160" s="269" t="s">
        <v>513</v>
      </c>
      <c r="C160" s="612">
        <v>2003</v>
      </c>
      <c r="D160" s="613">
        <v>135.30000000000001</v>
      </c>
      <c r="E160" s="613">
        <v>137.6</v>
      </c>
      <c r="F160" s="613">
        <v>141.19999999999999</v>
      </c>
      <c r="G160" s="613">
        <v>136.80000000000001</v>
      </c>
      <c r="H160" s="613">
        <v>136.69999999999999</v>
      </c>
      <c r="I160" s="613">
        <v>138</v>
      </c>
      <c r="J160" s="613">
        <v>137.69999999999999</v>
      </c>
      <c r="K160" s="613">
        <v>138</v>
      </c>
      <c r="L160" s="613">
        <v>138.5</v>
      </c>
      <c r="M160" s="613">
        <v>139.30000000000001</v>
      </c>
      <c r="N160" s="613">
        <v>138.9</v>
      </c>
      <c r="O160" s="613">
        <v>139.5</v>
      </c>
      <c r="P160" s="614">
        <f t="shared" si="12"/>
        <v>138.125</v>
      </c>
      <c r="R160" s="257"/>
      <c r="V160" s="604"/>
    </row>
    <row r="161" spans="2:22" x14ac:dyDescent="0.25">
      <c r="B161" s="263" t="s">
        <v>514</v>
      </c>
      <c r="C161" s="615">
        <v>2004</v>
      </c>
      <c r="D161" s="616">
        <v>141.4</v>
      </c>
      <c r="E161" s="616">
        <v>142.1</v>
      </c>
      <c r="F161" s="616">
        <v>143.1</v>
      </c>
      <c r="G161" s="616">
        <v>144.80000000000001</v>
      </c>
      <c r="H161" s="616">
        <v>146.80000000000001</v>
      </c>
      <c r="I161" s="616">
        <v>147.19999999999999</v>
      </c>
      <c r="J161" s="613">
        <v>147.4</v>
      </c>
      <c r="K161" s="613">
        <v>148</v>
      </c>
      <c r="L161" s="613">
        <v>147.69999999999999</v>
      </c>
      <c r="M161" s="613">
        <v>150</v>
      </c>
      <c r="N161" s="613">
        <v>151.4</v>
      </c>
      <c r="O161" s="613">
        <v>150.19999999999999</v>
      </c>
      <c r="P161" s="614">
        <f t="shared" si="12"/>
        <v>146.67500000000004</v>
      </c>
      <c r="R161" s="257"/>
      <c r="V161" s="604"/>
    </row>
    <row r="162" spans="2:22" x14ac:dyDescent="0.25">
      <c r="B162" s="269" t="s">
        <v>515</v>
      </c>
      <c r="C162" s="617">
        <v>2005</v>
      </c>
      <c r="D162" s="618">
        <v>150.9</v>
      </c>
      <c r="E162" s="618">
        <v>151.6</v>
      </c>
      <c r="F162" s="618">
        <v>153.69999999999999</v>
      </c>
      <c r="G162" s="618">
        <v>155</v>
      </c>
      <c r="H162" s="618">
        <v>154.30000000000001</v>
      </c>
      <c r="I162" s="618">
        <v>154.30000000000001</v>
      </c>
      <c r="J162" s="619">
        <v>156.30000000000001</v>
      </c>
      <c r="K162" s="619">
        <v>157.6</v>
      </c>
      <c r="L162" s="619">
        <v>162.19999999999999</v>
      </c>
      <c r="M162" s="619">
        <v>166.2</v>
      </c>
      <c r="N162" s="619">
        <v>163.69999999999999</v>
      </c>
      <c r="O162" s="619">
        <v>163</v>
      </c>
      <c r="P162" s="614">
        <f t="shared" si="12"/>
        <v>157.4</v>
      </c>
      <c r="R162" s="257"/>
      <c r="V162" s="604"/>
    </row>
    <row r="163" spans="2:22" x14ac:dyDescent="0.25">
      <c r="B163" s="269" t="s">
        <v>516</v>
      </c>
      <c r="C163" s="620">
        <v>2006</v>
      </c>
      <c r="D163" s="619">
        <v>164.3</v>
      </c>
      <c r="E163" s="619">
        <v>161.80000000000001</v>
      </c>
      <c r="F163" s="619">
        <v>162.19999999999999</v>
      </c>
      <c r="G163" s="619">
        <v>164.3</v>
      </c>
      <c r="H163" s="619">
        <v>165.8</v>
      </c>
      <c r="I163" s="619">
        <v>166.1</v>
      </c>
      <c r="J163" s="619">
        <v>166.8</v>
      </c>
      <c r="K163" s="619">
        <v>167.9</v>
      </c>
      <c r="L163" s="619">
        <v>165.4</v>
      </c>
      <c r="M163" s="619">
        <v>162.19999999999999</v>
      </c>
      <c r="N163" s="619">
        <v>164.6</v>
      </c>
      <c r="O163" s="619">
        <v>165.6</v>
      </c>
      <c r="P163" s="614">
        <f t="shared" si="12"/>
        <v>164.75000000000003</v>
      </c>
      <c r="Q163" s="263"/>
      <c r="R163" s="257"/>
      <c r="V163" s="604"/>
    </row>
    <row r="164" spans="2:22" x14ac:dyDescent="0.25">
      <c r="B164" s="269"/>
      <c r="C164" s="620">
        <v>2007</v>
      </c>
      <c r="D164" s="619">
        <v>164</v>
      </c>
      <c r="E164" s="619">
        <v>166.8</v>
      </c>
      <c r="F164" s="619">
        <v>169.3</v>
      </c>
      <c r="G164" s="619">
        <v>171.4</v>
      </c>
      <c r="H164" s="619">
        <v>173.3</v>
      </c>
      <c r="I164" s="619">
        <v>173.8</v>
      </c>
      <c r="J164" s="619">
        <v>175.1</v>
      </c>
      <c r="K164" s="619">
        <v>172.4</v>
      </c>
      <c r="L164" s="619">
        <v>173.5</v>
      </c>
      <c r="M164" s="619">
        <v>174.7</v>
      </c>
      <c r="N164" s="619">
        <v>179</v>
      </c>
      <c r="O164" s="619">
        <v>178.6</v>
      </c>
      <c r="P164" s="614">
        <f t="shared" si="12"/>
        <v>172.65833333333333</v>
      </c>
      <c r="R164" s="257"/>
    </row>
    <row r="165" spans="2:22" x14ac:dyDescent="0.25">
      <c r="B165" s="269"/>
      <c r="C165" s="620">
        <v>2008</v>
      </c>
      <c r="D165" s="619">
        <v>181</v>
      </c>
      <c r="E165" s="619">
        <v>182.7</v>
      </c>
      <c r="F165" s="619">
        <v>187.9</v>
      </c>
      <c r="G165" s="619">
        <v>190.9</v>
      </c>
      <c r="H165" s="619">
        <v>196.6</v>
      </c>
      <c r="I165" s="619">
        <v>200.5</v>
      </c>
      <c r="J165" s="619">
        <v>205.5</v>
      </c>
      <c r="K165" s="619">
        <v>199</v>
      </c>
      <c r="L165" s="619">
        <v>196.9</v>
      </c>
      <c r="M165" s="619">
        <v>186.4</v>
      </c>
      <c r="N165" s="619">
        <v>176.8</v>
      </c>
      <c r="O165" s="619">
        <v>170.9</v>
      </c>
      <c r="P165" s="614">
        <f t="shared" si="12"/>
        <v>189.5916666666667</v>
      </c>
      <c r="R165" s="257"/>
    </row>
    <row r="166" spans="2:22" x14ac:dyDescent="0.25">
      <c r="B166" s="269"/>
      <c r="C166" s="620">
        <v>2009</v>
      </c>
      <c r="D166" s="619">
        <v>171.2</v>
      </c>
      <c r="E166" s="619">
        <v>169.3</v>
      </c>
      <c r="F166" s="619">
        <v>168.1</v>
      </c>
      <c r="G166" s="619">
        <v>169.1</v>
      </c>
      <c r="H166" s="619">
        <v>170.8</v>
      </c>
      <c r="I166" s="619">
        <v>174.1</v>
      </c>
      <c r="J166" s="619">
        <v>172.5</v>
      </c>
      <c r="K166" s="619">
        <v>175</v>
      </c>
      <c r="L166" s="619">
        <v>174.1</v>
      </c>
      <c r="M166" s="619">
        <v>175.2</v>
      </c>
      <c r="N166" s="619">
        <v>177.4</v>
      </c>
      <c r="O166" s="619">
        <v>178.1</v>
      </c>
      <c r="P166" s="614">
        <f t="shared" si="12"/>
        <v>172.90833333333333</v>
      </c>
      <c r="R166" s="257"/>
    </row>
    <row r="167" spans="2:22" x14ac:dyDescent="0.25">
      <c r="B167" s="269"/>
      <c r="C167" s="612">
        <v>2010</v>
      </c>
      <c r="D167" s="613">
        <v>181.9</v>
      </c>
      <c r="E167" s="613">
        <v>181</v>
      </c>
      <c r="F167" s="613">
        <v>183.3</v>
      </c>
      <c r="G167" s="613">
        <v>184.4</v>
      </c>
      <c r="H167" s="613">
        <v>184.8</v>
      </c>
      <c r="I167" s="613">
        <v>183.5</v>
      </c>
      <c r="J167" s="613">
        <v>184.1</v>
      </c>
      <c r="K167" s="613">
        <v>184.9</v>
      </c>
      <c r="L167" s="613">
        <v>184.9</v>
      </c>
      <c r="M167" s="613">
        <v>186.6</v>
      </c>
      <c r="N167" s="613">
        <v>187.7</v>
      </c>
      <c r="O167" s="613">
        <v>189.7</v>
      </c>
      <c r="P167" s="614">
        <f t="shared" si="12"/>
        <v>184.73333333333335</v>
      </c>
      <c r="R167" s="257"/>
    </row>
    <row r="168" spans="2:22" x14ac:dyDescent="0.25">
      <c r="B168" s="269"/>
      <c r="C168" s="612">
        <v>2011</v>
      </c>
      <c r="D168" s="613">
        <v>192.7</v>
      </c>
      <c r="E168" s="613">
        <v>195.8</v>
      </c>
      <c r="F168" s="613">
        <v>199.2</v>
      </c>
      <c r="G168" s="613">
        <v>203.1</v>
      </c>
      <c r="H168" s="613">
        <v>204.1</v>
      </c>
      <c r="I168" s="613">
        <v>203.9</v>
      </c>
      <c r="J168" s="613">
        <v>204.6</v>
      </c>
      <c r="K168" s="613">
        <v>203.2</v>
      </c>
      <c r="L168" s="613">
        <v>203.7</v>
      </c>
      <c r="M168" s="613">
        <v>201.1</v>
      </c>
      <c r="N168" s="613">
        <v>201.4</v>
      </c>
      <c r="O168" s="613">
        <v>199.8</v>
      </c>
      <c r="P168" s="614">
        <f t="shared" si="12"/>
        <v>201.05000000000004</v>
      </c>
      <c r="R168" s="257"/>
    </row>
    <row r="169" spans="2:22" x14ac:dyDescent="0.25">
      <c r="B169" s="269"/>
      <c r="C169" s="612">
        <v>2012</v>
      </c>
      <c r="D169" s="613">
        <v>200.7</v>
      </c>
      <c r="E169" s="613">
        <v>201.6</v>
      </c>
      <c r="F169" s="613">
        <v>204.2</v>
      </c>
      <c r="G169" s="613">
        <v>203.7</v>
      </c>
      <c r="H169" s="613">
        <v>201.9</v>
      </c>
      <c r="I169" s="613">
        <v>199.8</v>
      </c>
      <c r="J169" s="613">
        <v>200.1</v>
      </c>
      <c r="K169" s="613">
        <v>202.7</v>
      </c>
      <c r="L169" s="613">
        <v>204.4</v>
      </c>
      <c r="M169" s="613">
        <v>203.5</v>
      </c>
      <c r="N169" s="613">
        <v>201.8</v>
      </c>
      <c r="O169" s="613">
        <v>201.5</v>
      </c>
      <c r="P169" s="614">
        <f t="shared" si="12"/>
        <v>202.15833333333333</v>
      </c>
      <c r="R169" s="257"/>
    </row>
    <row r="170" spans="2:22" x14ac:dyDescent="0.25">
      <c r="B170" s="314"/>
      <c r="C170" s="612">
        <v>2013</v>
      </c>
      <c r="D170" s="613">
        <v>202.5</v>
      </c>
      <c r="E170" s="613">
        <v>204.3</v>
      </c>
      <c r="F170" s="613">
        <v>204</v>
      </c>
      <c r="G170" s="613">
        <v>203.5</v>
      </c>
      <c r="H170" s="613">
        <v>204.1</v>
      </c>
      <c r="I170" s="613">
        <v>204.3</v>
      </c>
      <c r="J170" s="613">
        <v>204.4</v>
      </c>
      <c r="K170" s="613">
        <v>204.2</v>
      </c>
      <c r="L170" s="613">
        <v>203.9</v>
      </c>
      <c r="M170" s="613">
        <v>202.5</v>
      </c>
      <c r="N170" s="613">
        <v>201.2</v>
      </c>
      <c r="O170" s="613">
        <v>202</v>
      </c>
      <c r="P170" s="614">
        <f t="shared" si="12"/>
        <v>203.40833333333333</v>
      </c>
      <c r="R170" s="257"/>
    </row>
    <row r="171" spans="2:22" x14ac:dyDescent="0.25">
      <c r="C171" s="612">
        <v>2014</v>
      </c>
      <c r="D171" s="613">
        <v>203.8</v>
      </c>
      <c r="E171" s="613">
        <v>205.7</v>
      </c>
      <c r="F171" s="613">
        <v>207</v>
      </c>
      <c r="G171" s="613">
        <v>208.3</v>
      </c>
      <c r="H171" s="613">
        <v>208</v>
      </c>
      <c r="I171" s="613">
        <v>208.3</v>
      </c>
      <c r="J171" s="613">
        <v>208</v>
      </c>
      <c r="K171" s="613">
        <v>207</v>
      </c>
      <c r="L171" s="613">
        <v>206.4</v>
      </c>
      <c r="M171" s="613">
        <v>203.4</v>
      </c>
      <c r="N171" s="613">
        <v>200.9</v>
      </c>
      <c r="O171" s="613">
        <v>197</v>
      </c>
      <c r="P171" s="614">
        <f t="shared" si="12"/>
        <v>205.31666666666669</v>
      </c>
      <c r="R171" s="257"/>
    </row>
    <row r="172" spans="2:22" x14ac:dyDescent="0.25">
      <c r="C172" s="620">
        <v>2015</v>
      </c>
      <c r="D172" s="619">
        <v>192</v>
      </c>
      <c r="E172" s="619">
        <v>191.1</v>
      </c>
      <c r="F172" s="619">
        <v>191.5</v>
      </c>
      <c r="G172" s="619">
        <v>190.9</v>
      </c>
      <c r="H172" s="619">
        <v>193.4</v>
      </c>
      <c r="I172" s="619">
        <v>194.8</v>
      </c>
      <c r="J172" s="619">
        <v>193.9</v>
      </c>
      <c r="K172" s="619">
        <v>191.9</v>
      </c>
      <c r="L172" s="619">
        <v>189.1</v>
      </c>
      <c r="M172" s="619">
        <v>187.5</v>
      </c>
      <c r="N172" s="619">
        <v>185.7</v>
      </c>
      <c r="O172" s="619">
        <v>183.5</v>
      </c>
      <c r="P172" s="614">
        <f t="shared" si="12"/>
        <v>190.44166666666669</v>
      </c>
      <c r="R172" s="257"/>
    </row>
    <row r="173" spans="2:22" x14ac:dyDescent="0.25">
      <c r="C173" s="620">
        <v>2016</v>
      </c>
      <c r="D173" s="619">
        <v>182.6</v>
      </c>
      <c r="E173" s="619">
        <v>181.3</v>
      </c>
      <c r="F173" s="619">
        <v>182.1</v>
      </c>
      <c r="G173" s="619">
        <v>183.2</v>
      </c>
      <c r="H173" s="619">
        <v>185.3</v>
      </c>
      <c r="I173" s="619">
        <v>187.6</v>
      </c>
      <c r="J173" s="619">
        <v>187.7</v>
      </c>
      <c r="K173" s="619">
        <v>186.6</v>
      </c>
      <c r="L173" s="619">
        <v>186.9</v>
      </c>
      <c r="M173" s="619">
        <v>186.7</v>
      </c>
      <c r="N173" s="619">
        <v>186.3</v>
      </c>
      <c r="O173" s="619">
        <v>188.2</v>
      </c>
      <c r="P173" s="614">
        <f t="shared" si="12"/>
        <v>185.375</v>
      </c>
      <c r="R173" s="257"/>
    </row>
    <row r="174" spans="2:22" x14ac:dyDescent="0.25">
      <c r="C174" s="620">
        <v>2017</v>
      </c>
      <c r="D174" s="619">
        <v>190.7</v>
      </c>
      <c r="E174" s="619">
        <v>191.6</v>
      </c>
      <c r="F174" s="619">
        <v>191.5</v>
      </c>
      <c r="G174" s="621">
        <v>193</v>
      </c>
      <c r="H174" s="621">
        <v>192.8</v>
      </c>
      <c r="I174" s="621">
        <v>193.6</v>
      </c>
      <c r="J174" s="621">
        <v>193.5</v>
      </c>
      <c r="K174" s="619">
        <v>193.8</v>
      </c>
      <c r="L174" s="619">
        <v>194.8</v>
      </c>
      <c r="M174" s="619">
        <v>194.9</v>
      </c>
      <c r="N174" s="619">
        <v>195.9</v>
      </c>
      <c r="O174" s="619">
        <v>196.3</v>
      </c>
      <c r="P174" s="614">
        <v>193.5</v>
      </c>
      <c r="R174" s="257"/>
    </row>
    <row r="175" spans="2:22" x14ac:dyDescent="0.25">
      <c r="C175" s="620">
        <v>2018</v>
      </c>
      <c r="D175" s="619">
        <v>197.9</v>
      </c>
      <c r="E175" s="619">
        <v>199.3</v>
      </c>
      <c r="F175" s="619">
        <v>199.3</v>
      </c>
      <c r="G175" s="621">
        <v>200.3</v>
      </c>
      <c r="H175" s="621">
        <v>203.2</v>
      </c>
      <c r="I175" s="621">
        <v>204.2</v>
      </c>
      <c r="J175" s="621">
        <v>204.3</v>
      </c>
      <c r="K175" s="622">
        <v>203</v>
      </c>
      <c r="L175" s="622">
        <v>203.2</v>
      </c>
      <c r="M175" s="622">
        <v>204.3</v>
      </c>
      <c r="N175" s="622">
        <v>201.5</v>
      </c>
      <c r="O175" s="619"/>
      <c r="P175" s="623"/>
      <c r="Q175" s="624" t="s">
        <v>517</v>
      </c>
      <c r="R175" s="257"/>
    </row>
    <row r="176" spans="2:22" x14ac:dyDescent="0.25">
      <c r="C176" s="620"/>
      <c r="D176" s="619"/>
      <c r="E176" s="619"/>
      <c r="F176" s="619"/>
      <c r="G176" s="619"/>
      <c r="H176" s="619"/>
      <c r="I176" s="619"/>
      <c r="J176" s="622"/>
      <c r="K176" s="622"/>
      <c r="L176" s="622"/>
      <c r="M176" s="622"/>
      <c r="N176" s="619"/>
      <c r="O176" s="622"/>
      <c r="P176" s="623"/>
      <c r="R176" s="257"/>
    </row>
    <row r="177" spans="2:26" s="272" customFormat="1" x14ac:dyDescent="0.25">
      <c r="B177" s="555" t="s">
        <v>518</v>
      </c>
      <c r="C177" s="574"/>
      <c r="Q177" s="269"/>
      <c r="Y177" s="277"/>
      <c r="Z177" s="625"/>
    </row>
    <row r="178" spans="2:26" s="272" customFormat="1" x14ac:dyDescent="0.25">
      <c r="B178" s="554" t="str">
        <f>C185</f>
        <v>CUUR0000SETC01</v>
      </c>
      <c r="Q178" s="269"/>
      <c r="Y178" s="277"/>
      <c r="Z178" s="625"/>
    </row>
    <row r="179" spans="2:26" s="272" customFormat="1" x14ac:dyDescent="0.25">
      <c r="B179" s="554" t="str">
        <f>C215</f>
        <v>CUUR0000SS47021</v>
      </c>
      <c r="Y179" s="277"/>
      <c r="Z179" s="625"/>
    </row>
    <row r="180" spans="2:26" s="272" customFormat="1" x14ac:dyDescent="0.25">
      <c r="B180" s="554" t="str">
        <f>C245</f>
        <v>CUUR0000SETD</v>
      </c>
      <c r="Y180" s="277"/>
      <c r="Z180" s="625"/>
    </row>
    <row r="181" spans="2:26" s="272" customFormat="1" x14ac:dyDescent="0.25">
      <c r="B181" s="554" t="str">
        <f>C275</f>
        <v>CUUR0000SS45021</v>
      </c>
      <c r="Y181" s="277"/>
      <c r="Z181" s="625"/>
    </row>
    <row r="182" spans="2:26" s="272" customFormat="1" x14ac:dyDescent="0.25">
      <c r="B182" s="554" t="str">
        <f>C305</f>
        <v>CUUS0000SS45011</v>
      </c>
      <c r="Y182" s="277"/>
      <c r="Z182" s="625"/>
    </row>
    <row r="183" spans="2:26" s="272" customFormat="1" x14ac:dyDescent="0.25">
      <c r="B183" s="557" t="s">
        <v>443</v>
      </c>
      <c r="C183" s="574"/>
      <c r="Y183" s="277"/>
      <c r="Z183" s="625"/>
    </row>
    <row r="184" spans="2:26" s="272" customFormat="1" x14ac:dyDescent="0.25">
      <c r="B184" s="557"/>
      <c r="C184" s="574"/>
      <c r="Y184" s="277"/>
      <c r="Z184" s="625"/>
    </row>
    <row r="185" spans="2:26" x14ac:dyDescent="0.25">
      <c r="B185" s="573" t="s">
        <v>519</v>
      </c>
      <c r="C185" s="574" t="s">
        <v>315</v>
      </c>
    </row>
    <row r="186" spans="2:26" x14ac:dyDescent="0.25">
      <c r="B186" s="573" t="s">
        <v>514</v>
      </c>
      <c r="C186" s="574"/>
    </row>
    <row r="187" spans="2:26" x14ac:dyDescent="0.25">
      <c r="B187" s="573" t="s">
        <v>520</v>
      </c>
      <c r="C187" s="574" t="s">
        <v>505</v>
      </c>
    </row>
    <row r="188" spans="2:26" s="272" customFormat="1" x14ac:dyDescent="0.25">
      <c r="B188" s="626" t="s">
        <v>521</v>
      </c>
      <c r="C188" s="627" t="s">
        <v>309</v>
      </c>
      <c r="D188" s="628"/>
      <c r="E188" s="628"/>
      <c r="F188" s="628"/>
      <c r="G188" s="628"/>
      <c r="H188" s="628"/>
      <c r="I188" s="628"/>
      <c r="J188" s="628"/>
      <c r="K188" s="628"/>
      <c r="L188" s="628"/>
      <c r="M188" s="628"/>
      <c r="N188" s="628"/>
      <c r="O188" s="628"/>
      <c r="P188" s="269"/>
      <c r="Q188" s="269"/>
      <c r="Y188" s="277"/>
      <c r="Z188" s="625"/>
    </row>
    <row r="189" spans="2:26" x14ac:dyDescent="0.25">
      <c r="B189" s="301" t="s">
        <v>522</v>
      </c>
      <c r="C189" s="311" t="s">
        <v>507</v>
      </c>
    </row>
    <row r="190" spans="2:26" x14ac:dyDescent="0.25">
      <c r="B190" s="301" t="s">
        <v>523</v>
      </c>
      <c r="C190" s="311" t="s">
        <v>524</v>
      </c>
    </row>
    <row r="191" spans="2:26" s="272" customFormat="1" x14ac:dyDescent="0.25">
      <c r="B191" s="570" t="s">
        <v>238</v>
      </c>
      <c r="C191" s="258" t="s">
        <v>488</v>
      </c>
      <c r="D191" s="258" t="s">
        <v>489</v>
      </c>
      <c r="E191" s="258" t="s">
        <v>490</v>
      </c>
      <c r="F191" s="258" t="s">
        <v>491</v>
      </c>
      <c r="G191" s="258" t="s">
        <v>492</v>
      </c>
      <c r="H191" s="258" t="s">
        <v>449</v>
      </c>
      <c r="I191" s="258" t="s">
        <v>493</v>
      </c>
      <c r="J191" s="258" t="s">
        <v>494</v>
      </c>
      <c r="K191" s="258" t="s">
        <v>495</v>
      </c>
      <c r="L191" s="258" t="s">
        <v>496</v>
      </c>
      <c r="M191" s="258" t="s">
        <v>497</v>
      </c>
      <c r="N191" s="258" t="s">
        <v>498</v>
      </c>
      <c r="O191" s="629" t="s">
        <v>510</v>
      </c>
      <c r="P191" s="269"/>
      <c r="Q191" s="269"/>
      <c r="Y191" s="277"/>
      <c r="Z191" s="625"/>
    </row>
    <row r="192" spans="2:26" x14ac:dyDescent="0.25">
      <c r="B192" s="381">
        <v>1997</v>
      </c>
      <c r="C192" s="600">
        <v>101.9</v>
      </c>
      <c r="D192" s="600">
        <v>101.9</v>
      </c>
      <c r="E192" s="600">
        <v>101.2</v>
      </c>
      <c r="F192" s="600">
        <v>100.7</v>
      </c>
      <c r="G192" s="600">
        <v>100.2</v>
      </c>
      <c r="H192" s="600">
        <v>99.6</v>
      </c>
      <c r="I192" s="600">
        <v>100.6</v>
      </c>
      <c r="J192" s="600">
        <v>100</v>
      </c>
      <c r="K192" s="600">
        <v>99.5</v>
      </c>
      <c r="L192" s="600">
        <v>98.8</v>
      </c>
      <c r="M192" s="600">
        <v>99.3</v>
      </c>
      <c r="N192" s="600">
        <v>99</v>
      </c>
      <c r="O192" s="608">
        <f>AVERAGE(C192:N192)</f>
        <v>100.22500000000001</v>
      </c>
    </row>
    <row r="193" spans="2:15" x14ac:dyDescent="0.25">
      <c r="B193" s="381">
        <v>1998</v>
      </c>
      <c r="C193" s="600">
        <v>98.8</v>
      </c>
      <c r="D193" s="600">
        <v>99.1</v>
      </c>
      <c r="E193" s="600">
        <v>98.7</v>
      </c>
      <c r="F193" s="600">
        <v>97.8</v>
      </c>
      <c r="G193" s="600">
        <v>98.1</v>
      </c>
      <c r="H193" s="600">
        <v>98.5</v>
      </c>
      <c r="I193" s="600">
        <v>99</v>
      </c>
      <c r="J193" s="600">
        <v>99</v>
      </c>
      <c r="K193" s="600">
        <v>99.1</v>
      </c>
      <c r="L193" s="600">
        <v>99</v>
      </c>
      <c r="M193" s="600">
        <v>98.8</v>
      </c>
      <c r="N193" s="600">
        <v>98.6</v>
      </c>
      <c r="O193" s="608">
        <f t="shared" ref="O193:O213" si="13">AVERAGE(C193:N193)</f>
        <v>98.708333333333329</v>
      </c>
    </row>
    <row r="194" spans="2:15" x14ac:dyDescent="0.25">
      <c r="B194" s="381">
        <v>1999</v>
      </c>
      <c r="C194" s="600">
        <v>98.5</v>
      </c>
      <c r="D194" s="600">
        <v>98.4</v>
      </c>
      <c r="E194" s="600">
        <v>97.5</v>
      </c>
      <c r="F194" s="600">
        <v>97.9</v>
      </c>
      <c r="G194" s="600">
        <v>97.9</v>
      </c>
      <c r="H194" s="600">
        <v>97.4</v>
      </c>
      <c r="I194" s="600">
        <v>97.4</v>
      </c>
      <c r="J194" s="600">
        <v>97</v>
      </c>
      <c r="K194" s="600">
        <v>97.2</v>
      </c>
      <c r="L194" s="600">
        <v>97.1</v>
      </c>
      <c r="M194" s="600">
        <v>97.8</v>
      </c>
      <c r="N194" s="600">
        <v>97.5</v>
      </c>
      <c r="O194" s="608">
        <f t="shared" si="13"/>
        <v>97.633333333333326</v>
      </c>
    </row>
    <row r="195" spans="2:15" x14ac:dyDescent="0.25">
      <c r="B195" s="381">
        <v>2000</v>
      </c>
      <c r="C195" s="600">
        <v>97.1</v>
      </c>
      <c r="D195" s="600">
        <v>96.9</v>
      </c>
      <c r="E195" s="600">
        <v>97.3</v>
      </c>
      <c r="F195" s="600">
        <v>96.7</v>
      </c>
      <c r="G195" s="600">
        <v>97.2</v>
      </c>
      <c r="H195" s="600">
        <v>97</v>
      </c>
      <c r="I195" s="600">
        <v>97.4</v>
      </c>
      <c r="J195" s="600">
        <v>97.9</v>
      </c>
      <c r="K195" s="600">
        <v>97.8</v>
      </c>
      <c r="L195" s="600">
        <v>98</v>
      </c>
      <c r="M195" s="600">
        <v>98.6</v>
      </c>
      <c r="N195" s="600">
        <v>98.5</v>
      </c>
      <c r="O195" s="608">
        <f t="shared" si="13"/>
        <v>97.533333333333317</v>
      </c>
    </row>
    <row r="196" spans="2:15" x14ac:dyDescent="0.25">
      <c r="B196" s="381">
        <v>2001</v>
      </c>
      <c r="C196" s="600">
        <v>99.7</v>
      </c>
      <c r="D196" s="600">
        <v>100</v>
      </c>
      <c r="E196" s="600">
        <v>100.4</v>
      </c>
      <c r="F196" s="600">
        <v>99.7</v>
      </c>
      <c r="G196" s="600">
        <v>100.4</v>
      </c>
      <c r="H196" s="600">
        <v>100.2</v>
      </c>
      <c r="I196" s="600">
        <v>101.2</v>
      </c>
      <c r="J196" s="600">
        <v>100.8</v>
      </c>
      <c r="K196" s="600">
        <v>100.4</v>
      </c>
      <c r="L196" s="600">
        <v>100.9</v>
      </c>
      <c r="M196" s="600">
        <v>101.3</v>
      </c>
      <c r="N196" s="600">
        <v>101.2</v>
      </c>
      <c r="O196" s="608">
        <f t="shared" si="13"/>
        <v>100.51666666666667</v>
      </c>
    </row>
    <row r="197" spans="2:15" x14ac:dyDescent="0.25">
      <c r="B197" s="381">
        <v>2002</v>
      </c>
      <c r="C197" s="600">
        <v>101.6</v>
      </c>
      <c r="D197" s="600">
        <v>101.4</v>
      </c>
      <c r="E197" s="600">
        <v>101.7</v>
      </c>
      <c r="F197" s="600">
        <v>102.3</v>
      </c>
      <c r="G197" s="600">
        <v>102.1</v>
      </c>
      <c r="H197" s="600">
        <v>101.9</v>
      </c>
      <c r="I197" s="600">
        <v>102.2</v>
      </c>
      <c r="J197" s="600">
        <v>102.4</v>
      </c>
      <c r="K197" s="600">
        <v>101.8</v>
      </c>
      <c r="L197" s="600">
        <v>101.4</v>
      </c>
      <c r="M197" s="600">
        <v>101.5</v>
      </c>
      <c r="N197" s="600">
        <v>101.3</v>
      </c>
      <c r="O197" s="608">
        <f t="shared" si="13"/>
        <v>101.8</v>
      </c>
    </row>
    <row r="198" spans="2:15" x14ac:dyDescent="0.25">
      <c r="B198" s="381">
        <v>2003</v>
      </c>
      <c r="C198" s="600">
        <v>102.3</v>
      </c>
      <c r="D198" s="600">
        <v>102.7</v>
      </c>
      <c r="E198" s="600">
        <v>102.3</v>
      </c>
      <c r="F198" s="600">
        <v>102</v>
      </c>
      <c r="G198" s="600">
        <v>102</v>
      </c>
      <c r="H198" s="600">
        <v>101.7</v>
      </c>
      <c r="I198" s="600">
        <v>101.5</v>
      </c>
      <c r="J198" s="600">
        <v>101.7</v>
      </c>
      <c r="K198" s="600">
        <v>101.1</v>
      </c>
      <c r="L198" s="600">
        <v>101.4</v>
      </c>
      <c r="M198" s="600">
        <v>101.1</v>
      </c>
      <c r="N198" s="600">
        <v>100.8</v>
      </c>
      <c r="O198" s="608">
        <f t="shared" si="13"/>
        <v>101.71666666666665</v>
      </c>
    </row>
    <row r="199" spans="2:15" x14ac:dyDescent="0.25">
      <c r="B199" s="381">
        <v>2004</v>
      </c>
      <c r="C199" s="600">
        <v>101.1</v>
      </c>
      <c r="D199" s="600">
        <v>101</v>
      </c>
      <c r="E199" s="600">
        <v>100.6</v>
      </c>
      <c r="F199" s="600">
        <v>100.6</v>
      </c>
      <c r="G199" s="600">
        <v>100.5</v>
      </c>
      <c r="H199" s="600">
        <v>101</v>
      </c>
      <c r="I199" s="600">
        <v>102</v>
      </c>
      <c r="J199" s="600">
        <v>102.4</v>
      </c>
      <c r="K199" s="600">
        <v>102.8</v>
      </c>
      <c r="L199" s="600">
        <v>102.8</v>
      </c>
      <c r="M199" s="600">
        <v>103.2</v>
      </c>
      <c r="N199" s="600">
        <v>103.2</v>
      </c>
      <c r="O199" s="608">
        <f t="shared" si="13"/>
        <v>101.76666666666665</v>
      </c>
    </row>
    <row r="200" spans="2:15" x14ac:dyDescent="0.25">
      <c r="B200" s="381">
        <v>2005</v>
      </c>
      <c r="C200" s="600">
        <v>103.8</v>
      </c>
      <c r="D200" s="600">
        <v>104</v>
      </c>
      <c r="E200" s="600">
        <v>103.5</v>
      </c>
      <c r="F200" s="600">
        <v>103.5</v>
      </c>
      <c r="G200" s="600">
        <v>103.5</v>
      </c>
      <c r="H200" s="600">
        <v>103.8</v>
      </c>
      <c r="I200" s="600">
        <v>104.4</v>
      </c>
      <c r="J200" s="600">
        <v>104.6</v>
      </c>
      <c r="K200" s="600">
        <v>105</v>
      </c>
      <c r="L200" s="600">
        <v>105.3</v>
      </c>
      <c r="M200" s="600">
        <v>105.8</v>
      </c>
      <c r="N200" s="600">
        <v>106.2</v>
      </c>
      <c r="O200" s="608">
        <f t="shared" si="13"/>
        <v>104.44999999999999</v>
      </c>
    </row>
    <row r="201" spans="2:15" x14ac:dyDescent="0.25">
      <c r="B201" s="381">
        <v>2006</v>
      </c>
      <c r="C201" s="600">
        <v>106.4</v>
      </c>
      <c r="D201" s="600">
        <v>106.9</v>
      </c>
      <c r="E201" s="600">
        <v>107.1</v>
      </c>
      <c r="F201" s="600">
        <v>107.1</v>
      </c>
      <c r="G201" s="600">
        <v>108.1</v>
      </c>
      <c r="H201" s="600">
        <v>107.9</v>
      </c>
      <c r="I201" s="600">
        <v>108.9</v>
      </c>
      <c r="J201" s="600">
        <v>109</v>
      </c>
      <c r="K201" s="600">
        <v>109.4</v>
      </c>
      <c r="L201" s="600">
        <v>109.4</v>
      </c>
      <c r="M201" s="600">
        <v>110</v>
      </c>
      <c r="N201" s="600">
        <v>110</v>
      </c>
      <c r="O201" s="608">
        <f t="shared" si="13"/>
        <v>108.35000000000001</v>
      </c>
    </row>
    <row r="202" spans="2:15" x14ac:dyDescent="0.25">
      <c r="B202" s="381">
        <v>2007</v>
      </c>
      <c r="C202" s="600">
        <v>110.196</v>
      </c>
      <c r="D202" s="600">
        <v>110.71599999999999</v>
      </c>
      <c r="E202" s="600">
        <v>110.747</v>
      </c>
      <c r="F202" s="600">
        <v>111.102</v>
      </c>
      <c r="G202" s="600">
        <v>111.202</v>
      </c>
      <c r="H202" s="600">
        <v>111.179</v>
      </c>
      <c r="I202" s="600">
        <v>111.417</v>
      </c>
      <c r="J202" s="600">
        <v>111.967</v>
      </c>
      <c r="K202" s="600">
        <v>112.268</v>
      </c>
      <c r="L202" s="600">
        <v>112.84099999999999</v>
      </c>
      <c r="M202" s="600">
        <v>113.08799999999999</v>
      </c>
      <c r="N202" s="600">
        <v>113.06</v>
      </c>
      <c r="O202" s="608">
        <f t="shared" si="13"/>
        <v>111.64858333333332</v>
      </c>
    </row>
    <row r="203" spans="2:15" x14ac:dyDescent="0.25">
      <c r="B203" s="381">
        <v>2008</v>
      </c>
      <c r="C203" s="600">
        <v>112.738</v>
      </c>
      <c r="D203" s="600">
        <v>113.85899999999999</v>
      </c>
      <c r="E203" s="600">
        <v>114.836</v>
      </c>
      <c r="F203" s="600">
        <v>114.496</v>
      </c>
      <c r="G203" s="600">
        <v>115.395</v>
      </c>
      <c r="H203" s="600">
        <v>116.371</v>
      </c>
      <c r="I203" s="600">
        <v>117.77500000000001</v>
      </c>
      <c r="J203" s="600">
        <v>118.533</v>
      </c>
      <c r="K203" s="600">
        <v>119.19499999999999</v>
      </c>
      <c r="L203" s="600">
        <v>119.378</v>
      </c>
      <c r="M203" s="600">
        <v>119.59</v>
      </c>
      <c r="N203" s="600">
        <v>119.79600000000001</v>
      </c>
      <c r="O203" s="608">
        <f t="shared" si="13"/>
        <v>116.83016666666664</v>
      </c>
    </row>
    <row r="204" spans="2:15" x14ac:dyDescent="0.25">
      <c r="B204" s="381">
        <v>2009</v>
      </c>
      <c r="C204" s="600">
        <v>120.203</v>
      </c>
      <c r="D204" s="600">
        <v>121.199</v>
      </c>
      <c r="E204" s="600">
        <v>121.687</v>
      </c>
      <c r="F204" s="600">
        <v>121.848</v>
      </c>
      <c r="G204" s="600">
        <v>121.435</v>
      </c>
      <c r="H204" s="600">
        <v>121.408</v>
      </c>
      <c r="I204" s="600">
        <v>120.63800000000001</v>
      </c>
      <c r="J204" s="600">
        <v>120.108</v>
      </c>
      <c r="K204" s="600">
        <v>119.86499999999999</v>
      </c>
      <c r="L204" s="600">
        <v>120.181</v>
      </c>
      <c r="M204" s="600">
        <v>120.833</v>
      </c>
      <c r="N204" s="600">
        <v>121.348</v>
      </c>
      <c r="O204" s="608">
        <f t="shared" si="13"/>
        <v>120.89608333333335</v>
      </c>
    </row>
    <row r="205" spans="2:15" x14ac:dyDescent="0.25">
      <c r="B205" s="381">
        <v>2010</v>
      </c>
      <c r="C205" s="600">
        <v>121.723</v>
      </c>
      <c r="D205" s="600">
        <v>122.251</v>
      </c>
      <c r="E205" s="600">
        <v>122.238</v>
      </c>
      <c r="F205" s="600">
        <v>122.01</v>
      </c>
      <c r="G205" s="600">
        <v>122.336</v>
      </c>
      <c r="H205" s="600">
        <v>122.908</v>
      </c>
      <c r="I205" s="600">
        <v>123.57599999999999</v>
      </c>
      <c r="J205" s="600">
        <v>124.324</v>
      </c>
      <c r="K205" s="600">
        <v>124.185</v>
      </c>
      <c r="L205" s="600">
        <v>124.94</v>
      </c>
      <c r="M205" s="600">
        <v>125.62</v>
      </c>
      <c r="N205" s="600">
        <v>126.26300000000001</v>
      </c>
      <c r="O205" s="608">
        <f t="shared" si="13"/>
        <v>123.53116666666665</v>
      </c>
    </row>
    <row r="206" spans="2:15" x14ac:dyDescent="0.25">
      <c r="B206" s="381">
        <v>2011</v>
      </c>
      <c r="C206" s="600">
        <v>127.50700000000001</v>
      </c>
      <c r="D206" s="600">
        <v>128.10499999999999</v>
      </c>
      <c r="E206" s="600">
        <v>127.64700000000001</v>
      </c>
      <c r="F206" s="600">
        <v>128.41</v>
      </c>
      <c r="G206" s="600">
        <v>130.03</v>
      </c>
      <c r="H206" s="600">
        <v>131.48500000000001</v>
      </c>
      <c r="I206" s="600">
        <v>131.72900000000001</v>
      </c>
      <c r="J206" s="600">
        <v>132.22499999999999</v>
      </c>
      <c r="K206" s="600">
        <v>131.77600000000001</v>
      </c>
      <c r="L206" s="600">
        <v>131.47499999999999</v>
      </c>
      <c r="M206" s="600">
        <v>132.97499999999999</v>
      </c>
      <c r="N206" s="600">
        <v>134.417</v>
      </c>
      <c r="O206" s="608">
        <f t="shared" si="13"/>
        <v>130.64841666666663</v>
      </c>
    </row>
    <row r="207" spans="2:15" x14ac:dyDescent="0.25">
      <c r="B207" s="381">
        <v>2012</v>
      </c>
      <c r="C207" s="600">
        <v>135.31</v>
      </c>
      <c r="D207" s="600">
        <v>135.44200000000001</v>
      </c>
      <c r="E207" s="600">
        <v>135.1</v>
      </c>
      <c r="F207" s="600">
        <v>135.256</v>
      </c>
      <c r="G207" s="600">
        <v>135.202</v>
      </c>
      <c r="H207" s="600">
        <v>135.19999999999999</v>
      </c>
      <c r="I207" s="600">
        <v>135.447</v>
      </c>
      <c r="J207" s="600">
        <v>135.446</v>
      </c>
      <c r="K207" s="600">
        <v>134.917</v>
      </c>
      <c r="L207" s="600">
        <v>135.185</v>
      </c>
      <c r="M207" s="600">
        <v>134.36500000000001</v>
      </c>
      <c r="N207" s="600">
        <v>134.666</v>
      </c>
      <c r="O207" s="608">
        <f t="shared" si="13"/>
        <v>135.12799999999999</v>
      </c>
    </row>
    <row r="208" spans="2:15" x14ac:dyDescent="0.25">
      <c r="B208" s="381">
        <v>2013</v>
      </c>
      <c r="C208" s="600">
        <v>133.58199999999999</v>
      </c>
      <c r="D208" s="600">
        <v>133.143</v>
      </c>
      <c r="E208" s="600">
        <v>133.28800000000001</v>
      </c>
      <c r="F208" s="600">
        <v>132.29</v>
      </c>
      <c r="G208" s="600">
        <v>131.648</v>
      </c>
      <c r="H208" s="600">
        <v>131.03200000000001</v>
      </c>
      <c r="I208" s="600">
        <v>130.53899999999999</v>
      </c>
      <c r="J208" s="600">
        <v>129.876</v>
      </c>
      <c r="K208" s="600">
        <v>129.345</v>
      </c>
      <c r="L208" s="600">
        <v>129.209</v>
      </c>
      <c r="M208" s="600">
        <v>128.88499999999999</v>
      </c>
      <c r="N208" s="600">
        <v>129.637</v>
      </c>
      <c r="O208" s="608">
        <f t="shared" si="13"/>
        <v>131.0395</v>
      </c>
    </row>
    <row r="209" spans="2:26" x14ac:dyDescent="0.25">
      <c r="B209" s="381">
        <v>2014</v>
      </c>
      <c r="C209" s="600">
        <v>129.28899999999999</v>
      </c>
      <c r="D209" s="600">
        <v>128.863</v>
      </c>
      <c r="E209" s="600">
        <v>128.792</v>
      </c>
      <c r="F209" s="600">
        <v>128.94999999999999</v>
      </c>
      <c r="G209" s="600">
        <v>128.71100000000001</v>
      </c>
      <c r="H209" s="600">
        <v>127.688</v>
      </c>
      <c r="I209" s="600">
        <v>127.991</v>
      </c>
      <c r="J209" s="600">
        <v>127.76600000000001</v>
      </c>
      <c r="K209" s="600">
        <v>127.262</v>
      </c>
      <c r="L209" s="600">
        <v>127.04300000000001</v>
      </c>
      <c r="M209" s="600">
        <v>126.572</v>
      </c>
      <c r="N209" s="600">
        <v>127.212</v>
      </c>
      <c r="O209" s="608">
        <f t="shared" si="13"/>
        <v>128.01158333333333</v>
      </c>
      <c r="Q209" s="257"/>
      <c r="R209" s="257"/>
      <c r="S209" s="257"/>
      <c r="T209" s="257"/>
    </row>
    <row r="210" spans="2:26" x14ac:dyDescent="0.25">
      <c r="B210" s="381">
        <v>2015</v>
      </c>
      <c r="C210" s="600">
        <v>127.601</v>
      </c>
      <c r="D210" s="600">
        <v>127.58499999999999</v>
      </c>
      <c r="E210" s="600">
        <v>126.843</v>
      </c>
      <c r="F210" s="600">
        <v>126.577</v>
      </c>
      <c r="G210" s="600">
        <v>126.929</v>
      </c>
      <c r="H210" s="600">
        <v>126.119</v>
      </c>
      <c r="I210" s="600">
        <v>126.205</v>
      </c>
      <c r="J210" s="600">
        <v>126.009</v>
      </c>
      <c r="K210" s="600">
        <v>126.455</v>
      </c>
      <c r="L210" s="600">
        <v>125.575</v>
      </c>
      <c r="M210" s="600">
        <v>126.10599999999999</v>
      </c>
      <c r="N210" s="600">
        <v>126.41</v>
      </c>
      <c r="O210" s="608">
        <f t="shared" si="13"/>
        <v>126.53450000000002</v>
      </c>
      <c r="Q210" s="257"/>
      <c r="R210" s="257"/>
      <c r="S210" s="257"/>
      <c r="T210" s="257"/>
    </row>
    <row r="211" spans="2:26" x14ac:dyDescent="0.25">
      <c r="B211" s="381">
        <v>2016</v>
      </c>
      <c r="C211" s="600">
        <v>127.05</v>
      </c>
      <c r="D211" s="600">
        <v>126.88</v>
      </c>
      <c r="E211" s="600">
        <v>126.348</v>
      </c>
      <c r="F211" s="600">
        <v>126.672</v>
      </c>
      <c r="G211" s="600">
        <v>125.66</v>
      </c>
      <c r="H211" s="600">
        <v>125.366</v>
      </c>
      <c r="I211" s="600">
        <v>124.423</v>
      </c>
      <c r="J211" s="600">
        <v>125.366</v>
      </c>
      <c r="K211" s="600">
        <v>124.65600000000001</v>
      </c>
      <c r="L211" s="600">
        <v>125.125</v>
      </c>
      <c r="M211" s="600">
        <v>123.542</v>
      </c>
      <c r="N211" s="600">
        <v>123.967</v>
      </c>
      <c r="O211" s="608">
        <f t="shared" si="13"/>
        <v>125.42125</v>
      </c>
      <c r="Q211" s="257"/>
      <c r="R211" s="257"/>
      <c r="S211" s="257"/>
      <c r="T211" s="257"/>
    </row>
    <row r="212" spans="2:26" x14ac:dyDescent="0.25">
      <c r="B212" s="381">
        <v>2017</v>
      </c>
      <c r="C212" s="600">
        <v>124.423</v>
      </c>
      <c r="D212" s="600">
        <v>124.825</v>
      </c>
      <c r="E212" s="600">
        <v>125.414</v>
      </c>
      <c r="F212" s="600">
        <v>125.592</v>
      </c>
      <c r="G212" s="600">
        <v>124.578</v>
      </c>
      <c r="H212" s="600">
        <v>124.661</v>
      </c>
      <c r="I212" s="600">
        <v>124.148</v>
      </c>
      <c r="J212" s="600">
        <v>124.169</v>
      </c>
      <c r="K212" s="600">
        <v>123.976</v>
      </c>
      <c r="L212" s="600">
        <v>122.60899999999999</v>
      </c>
      <c r="M212" s="600">
        <v>121.39100000000001</v>
      </c>
      <c r="N212" s="600">
        <v>122.38500000000001</v>
      </c>
      <c r="O212" s="608">
        <f t="shared" si="13"/>
        <v>124.01425</v>
      </c>
      <c r="Q212" s="257"/>
      <c r="R212" s="257"/>
      <c r="S212" s="257"/>
      <c r="T212" s="257"/>
    </row>
    <row r="213" spans="2:26" x14ac:dyDescent="0.25">
      <c r="B213" s="381">
        <v>2018</v>
      </c>
      <c r="C213" s="600">
        <v>123.077</v>
      </c>
      <c r="D213" s="600">
        <v>123.55500000000001</v>
      </c>
      <c r="E213" s="600">
        <v>123.529</v>
      </c>
      <c r="F213" s="600">
        <v>122.614</v>
      </c>
      <c r="G213" s="600">
        <v>123.614</v>
      </c>
      <c r="H213" s="600">
        <v>122.717</v>
      </c>
      <c r="I213" s="600">
        <v>122.17400000000001</v>
      </c>
      <c r="J213" s="600">
        <v>122.134</v>
      </c>
      <c r="K213" s="600">
        <v>122.087</v>
      </c>
      <c r="L213" s="600">
        <v>122.645</v>
      </c>
      <c r="M213" s="600">
        <v>122.76900000000001</v>
      </c>
      <c r="N213" s="600"/>
      <c r="O213" s="608">
        <f t="shared" si="13"/>
        <v>122.81045454545455</v>
      </c>
      <c r="Q213" s="257"/>
      <c r="R213" s="257"/>
      <c r="S213" s="257"/>
      <c r="T213" s="257"/>
    </row>
    <row r="214" spans="2:26" x14ac:dyDescent="0.25">
      <c r="Q214" s="257"/>
      <c r="R214" s="257"/>
      <c r="S214" s="257"/>
      <c r="T214" s="257"/>
    </row>
    <row r="215" spans="2:26" s="272" customFormat="1" x14ac:dyDescent="0.25">
      <c r="B215" s="573" t="s">
        <v>519</v>
      </c>
      <c r="C215" s="574" t="s">
        <v>316</v>
      </c>
      <c r="P215" s="269"/>
      <c r="Q215" s="257"/>
      <c r="R215" s="262"/>
      <c r="S215" s="262"/>
      <c r="T215" s="262"/>
      <c r="Y215" s="277"/>
      <c r="Z215" s="625"/>
    </row>
    <row r="216" spans="2:26" s="272" customFormat="1" x14ac:dyDescent="0.25">
      <c r="B216" s="573" t="s">
        <v>514</v>
      </c>
      <c r="C216" s="574"/>
      <c r="P216" s="269"/>
      <c r="Q216" s="257"/>
      <c r="R216" s="262"/>
      <c r="S216" s="262"/>
      <c r="T216" s="262"/>
      <c r="Y216" s="277"/>
      <c r="Z216" s="625"/>
    </row>
    <row r="217" spans="2:26" s="272" customFormat="1" x14ac:dyDescent="0.25">
      <c r="B217" s="573" t="s">
        <v>520</v>
      </c>
      <c r="C217" s="574" t="s">
        <v>505</v>
      </c>
      <c r="P217" s="269"/>
      <c r="Q217" s="257"/>
      <c r="R217" s="262"/>
      <c r="S217" s="262"/>
      <c r="T217" s="262"/>
      <c r="Y217" s="277"/>
      <c r="Z217" s="625"/>
    </row>
    <row r="218" spans="2:26" s="272" customFormat="1" x14ac:dyDescent="0.25">
      <c r="B218" s="626" t="s">
        <v>521</v>
      </c>
      <c r="C218" s="627" t="s">
        <v>310</v>
      </c>
      <c r="D218" s="628"/>
      <c r="E218" s="628"/>
      <c r="F218" s="628"/>
      <c r="G218" s="628"/>
      <c r="H218" s="628"/>
      <c r="I218" s="628"/>
      <c r="J218" s="628"/>
      <c r="K218" s="628"/>
      <c r="L218" s="628"/>
      <c r="M218" s="628"/>
      <c r="N218" s="628"/>
      <c r="O218" s="628"/>
      <c r="P218" s="269"/>
      <c r="Q218" s="257"/>
      <c r="R218" s="262"/>
      <c r="S218" s="262"/>
      <c r="T218" s="262"/>
      <c r="Y218" s="277"/>
      <c r="Z218" s="625"/>
    </row>
    <row r="219" spans="2:26" x14ac:dyDescent="0.25">
      <c r="B219" s="301" t="s">
        <v>522</v>
      </c>
      <c r="C219" s="311" t="s">
        <v>507</v>
      </c>
      <c r="Q219" s="257"/>
      <c r="R219" s="257"/>
      <c r="S219" s="257"/>
      <c r="T219" s="257"/>
    </row>
    <row r="220" spans="2:26" x14ac:dyDescent="0.25">
      <c r="B220" s="301" t="s">
        <v>523</v>
      </c>
      <c r="C220" s="311" t="s">
        <v>524</v>
      </c>
      <c r="Q220" s="257"/>
      <c r="R220" s="257"/>
      <c r="S220" s="257"/>
      <c r="T220" s="257"/>
    </row>
    <row r="221" spans="2:26" s="272" customFormat="1" x14ac:dyDescent="0.25">
      <c r="B221" s="573" t="s">
        <v>238</v>
      </c>
      <c r="C221" s="258" t="s">
        <v>488</v>
      </c>
      <c r="D221" s="258" t="s">
        <v>489</v>
      </c>
      <c r="E221" s="258" t="s">
        <v>490</v>
      </c>
      <c r="F221" s="258" t="s">
        <v>491</v>
      </c>
      <c r="G221" s="258" t="s">
        <v>492</v>
      </c>
      <c r="H221" s="258" t="s">
        <v>449</v>
      </c>
      <c r="I221" s="258" t="s">
        <v>493</v>
      </c>
      <c r="J221" s="258" t="s">
        <v>494</v>
      </c>
      <c r="K221" s="258" t="s">
        <v>495</v>
      </c>
      <c r="L221" s="258" t="s">
        <v>496</v>
      </c>
      <c r="M221" s="258" t="s">
        <v>497</v>
      </c>
      <c r="N221" s="258" t="s">
        <v>498</v>
      </c>
      <c r="O221" s="258" t="s">
        <v>510</v>
      </c>
      <c r="P221" s="269"/>
      <c r="Q221" s="257"/>
      <c r="R221" s="262"/>
      <c r="S221" s="262"/>
      <c r="T221" s="262"/>
      <c r="Y221" s="277"/>
      <c r="Z221" s="625"/>
    </row>
    <row r="222" spans="2:26" x14ac:dyDescent="0.2">
      <c r="B222" s="381">
        <v>1997</v>
      </c>
      <c r="C222" s="630">
        <v>131.1</v>
      </c>
      <c r="D222" s="630">
        <v>130.5</v>
      </c>
      <c r="E222" s="630">
        <v>131.1</v>
      </c>
      <c r="F222" s="630">
        <v>131.5</v>
      </c>
      <c r="G222" s="630">
        <v>132.6</v>
      </c>
      <c r="H222" s="630">
        <v>132.6</v>
      </c>
      <c r="I222" s="630">
        <v>132.69999999999999</v>
      </c>
      <c r="J222" s="630">
        <v>131.69999999999999</v>
      </c>
      <c r="K222" s="630">
        <v>131.5</v>
      </c>
      <c r="L222" s="630">
        <v>131.6</v>
      </c>
      <c r="M222" s="630">
        <v>131.6</v>
      </c>
      <c r="N222" s="630">
        <v>131.80000000000001</v>
      </c>
      <c r="O222" s="608">
        <f>AVERAGE(C222:N222)</f>
        <v>131.69166666666666</v>
      </c>
      <c r="Q222" s="257"/>
      <c r="R222" s="257"/>
      <c r="S222" s="257"/>
      <c r="T222" s="257"/>
    </row>
    <row r="223" spans="2:26" x14ac:dyDescent="0.2">
      <c r="B223" s="381">
        <v>1998</v>
      </c>
      <c r="C223" s="630">
        <v>131.4</v>
      </c>
      <c r="D223" s="630">
        <v>131</v>
      </c>
      <c r="E223" s="630">
        <v>131</v>
      </c>
      <c r="F223" s="630">
        <v>131.30000000000001</v>
      </c>
      <c r="G223" s="630">
        <v>131.1</v>
      </c>
      <c r="H223" s="630">
        <v>131.6</v>
      </c>
      <c r="I223" s="630">
        <v>130.69999999999999</v>
      </c>
      <c r="J223" s="630">
        <v>131.6</v>
      </c>
      <c r="K223" s="630">
        <v>131.1</v>
      </c>
      <c r="L223" s="630">
        <v>130.69999999999999</v>
      </c>
      <c r="M223" s="630">
        <v>130.80000000000001</v>
      </c>
      <c r="N223" s="630">
        <v>130.80000000000001</v>
      </c>
      <c r="O223" s="608">
        <f t="shared" ref="O223:O243" si="14">AVERAGE(C223:N223)</f>
        <v>131.09166666666667</v>
      </c>
      <c r="Q223" s="257"/>
      <c r="R223" s="257"/>
      <c r="S223" s="257"/>
      <c r="T223" s="257"/>
    </row>
    <row r="224" spans="2:26" x14ac:dyDescent="0.2">
      <c r="B224" s="381">
        <v>1999</v>
      </c>
      <c r="C224" s="630">
        <v>131.1</v>
      </c>
      <c r="D224" s="630">
        <v>130.9</v>
      </c>
      <c r="E224" s="630">
        <v>128.80000000000001</v>
      </c>
      <c r="F224" s="630">
        <v>129.80000000000001</v>
      </c>
      <c r="G224" s="630">
        <v>130.69999999999999</v>
      </c>
      <c r="H224" s="630">
        <v>131.1</v>
      </c>
      <c r="I224" s="630">
        <v>130.19999999999999</v>
      </c>
      <c r="J224" s="630">
        <v>131.1</v>
      </c>
      <c r="K224" s="630">
        <v>132</v>
      </c>
      <c r="L224" s="630">
        <v>132.5</v>
      </c>
      <c r="M224" s="630">
        <v>132.5</v>
      </c>
      <c r="N224" s="630">
        <v>132.19999999999999</v>
      </c>
      <c r="O224" s="608">
        <f t="shared" si="14"/>
        <v>131.07499999999999</v>
      </c>
      <c r="Q224" s="257"/>
      <c r="R224" s="257"/>
      <c r="S224" s="257"/>
      <c r="T224" s="257"/>
    </row>
    <row r="225" spans="2:20" x14ac:dyDescent="0.2">
      <c r="B225" s="381">
        <v>2000</v>
      </c>
      <c r="C225" s="630">
        <v>132.4</v>
      </c>
      <c r="D225" s="630">
        <v>134.5</v>
      </c>
      <c r="E225" s="630">
        <v>135.69999999999999</v>
      </c>
      <c r="F225" s="630">
        <v>137.4</v>
      </c>
      <c r="G225" s="630">
        <v>137</v>
      </c>
      <c r="H225" s="630">
        <v>138.80000000000001</v>
      </c>
      <c r="I225" s="630">
        <v>139.6</v>
      </c>
      <c r="J225" s="630">
        <v>139.80000000000001</v>
      </c>
      <c r="K225" s="630">
        <v>140</v>
      </c>
      <c r="L225" s="630">
        <v>138.69999999999999</v>
      </c>
      <c r="M225" s="630">
        <v>140.19999999999999</v>
      </c>
      <c r="N225" s="630">
        <v>141.69999999999999</v>
      </c>
      <c r="O225" s="608">
        <f t="shared" si="14"/>
        <v>137.98333333333335</v>
      </c>
      <c r="Q225" s="257"/>
      <c r="R225" s="257"/>
      <c r="S225" s="257"/>
      <c r="T225" s="257"/>
    </row>
    <row r="226" spans="2:20" x14ac:dyDescent="0.2">
      <c r="B226" s="381">
        <v>2001</v>
      </c>
      <c r="C226" s="630">
        <v>140.4</v>
      </c>
      <c r="D226" s="630">
        <v>142.80000000000001</v>
      </c>
      <c r="E226" s="630">
        <v>146.19999999999999</v>
      </c>
      <c r="F226" s="630">
        <v>145.19999999999999</v>
      </c>
      <c r="G226" s="630">
        <v>146</v>
      </c>
      <c r="H226" s="630">
        <v>146.5</v>
      </c>
      <c r="I226" s="630">
        <v>147.30000000000001</v>
      </c>
      <c r="J226" s="630">
        <v>148.5</v>
      </c>
      <c r="K226" s="630">
        <v>150.80000000000001</v>
      </c>
      <c r="L226" s="630">
        <v>151</v>
      </c>
      <c r="M226" s="630">
        <v>151.1</v>
      </c>
      <c r="N226" s="630">
        <v>150.69999999999999</v>
      </c>
      <c r="O226" s="608">
        <f t="shared" si="14"/>
        <v>147.20833333333334</v>
      </c>
      <c r="Q226" s="257"/>
      <c r="R226" s="257"/>
      <c r="S226" s="257"/>
      <c r="T226" s="257"/>
    </row>
    <row r="227" spans="2:20" x14ac:dyDescent="0.2">
      <c r="B227" s="381">
        <v>2002</v>
      </c>
      <c r="C227" s="630">
        <v>152.1</v>
      </c>
      <c r="D227" s="630">
        <v>152.30000000000001</v>
      </c>
      <c r="E227" s="630">
        <v>152.9</v>
      </c>
      <c r="F227" s="630">
        <v>152.30000000000001</v>
      </c>
      <c r="G227" s="630">
        <v>153.80000000000001</v>
      </c>
      <c r="H227" s="630">
        <v>152.6</v>
      </c>
      <c r="I227" s="630">
        <v>153</v>
      </c>
      <c r="J227" s="630">
        <v>154.4</v>
      </c>
      <c r="K227" s="630">
        <v>154.30000000000001</v>
      </c>
      <c r="L227" s="630">
        <v>152.6</v>
      </c>
      <c r="M227" s="630">
        <v>153.69999999999999</v>
      </c>
      <c r="N227" s="630">
        <v>154.30000000000001</v>
      </c>
      <c r="O227" s="608">
        <f t="shared" si="14"/>
        <v>153.19166666666666</v>
      </c>
      <c r="Q227" s="257"/>
      <c r="R227" s="257"/>
      <c r="S227" s="257"/>
      <c r="T227" s="257"/>
    </row>
    <row r="228" spans="2:20" x14ac:dyDescent="0.2">
      <c r="B228" s="381">
        <v>2003</v>
      </c>
      <c r="C228" s="630">
        <v>154.4</v>
      </c>
      <c r="D228" s="630">
        <v>154.80000000000001</v>
      </c>
      <c r="E228" s="630">
        <v>155.69999999999999</v>
      </c>
      <c r="F228" s="630">
        <v>156</v>
      </c>
      <c r="G228" s="630">
        <v>155.30000000000001</v>
      </c>
      <c r="H228" s="630">
        <v>156.6</v>
      </c>
      <c r="I228" s="630">
        <v>156.9</v>
      </c>
      <c r="J228" s="630">
        <v>157.19999999999999</v>
      </c>
      <c r="K228" s="630">
        <v>158.1</v>
      </c>
      <c r="L228" s="630">
        <v>159.6</v>
      </c>
      <c r="M228" s="630">
        <v>160.69999999999999</v>
      </c>
      <c r="N228" s="630">
        <v>160.19999999999999</v>
      </c>
      <c r="O228" s="608">
        <f t="shared" si="14"/>
        <v>157.125</v>
      </c>
      <c r="Q228" s="257"/>
      <c r="R228" s="257"/>
      <c r="S228" s="257"/>
      <c r="T228" s="257"/>
    </row>
    <row r="229" spans="2:20" x14ac:dyDescent="0.2">
      <c r="B229" s="381">
        <v>2004</v>
      </c>
      <c r="C229" s="630">
        <v>161.1</v>
      </c>
      <c r="D229" s="630">
        <v>161</v>
      </c>
      <c r="E229" s="630">
        <v>161.9</v>
      </c>
      <c r="F229" s="630">
        <v>163.30000000000001</v>
      </c>
      <c r="G229" s="630">
        <v>163</v>
      </c>
      <c r="H229" s="630">
        <v>164.8</v>
      </c>
      <c r="I229" s="630">
        <v>165.4</v>
      </c>
      <c r="J229" s="630">
        <v>166.1</v>
      </c>
      <c r="K229" s="630">
        <v>167.4</v>
      </c>
      <c r="L229" s="630">
        <v>168.5</v>
      </c>
      <c r="M229" s="630">
        <v>171.2</v>
      </c>
      <c r="N229" s="630">
        <v>170.3</v>
      </c>
      <c r="O229" s="608">
        <f t="shared" si="14"/>
        <v>165.33333333333334</v>
      </c>
      <c r="Q229" s="257"/>
      <c r="R229" s="257"/>
      <c r="S229" s="257"/>
      <c r="T229" s="257"/>
    </row>
    <row r="230" spans="2:20" x14ac:dyDescent="0.2">
      <c r="B230" s="381">
        <v>2005</v>
      </c>
      <c r="C230" s="630">
        <v>172.6</v>
      </c>
      <c r="D230" s="630">
        <v>174.4</v>
      </c>
      <c r="E230" s="630">
        <v>176.9</v>
      </c>
      <c r="F230" s="630">
        <v>176</v>
      </c>
      <c r="G230" s="630">
        <v>179.4</v>
      </c>
      <c r="H230" s="630">
        <v>179.6</v>
      </c>
      <c r="I230" s="630">
        <v>182</v>
      </c>
      <c r="J230" s="630">
        <v>186.8</v>
      </c>
      <c r="K230" s="630">
        <v>186.1</v>
      </c>
      <c r="L230" s="630">
        <v>190.3</v>
      </c>
      <c r="M230" s="630">
        <v>193.9</v>
      </c>
      <c r="N230" s="630">
        <v>195.1</v>
      </c>
      <c r="O230" s="608">
        <f t="shared" si="14"/>
        <v>182.75833333333333</v>
      </c>
      <c r="Q230" s="257"/>
      <c r="R230" s="257"/>
      <c r="S230" s="257"/>
      <c r="T230" s="257"/>
    </row>
    <row r="231" spans="2:20" x14ac:dyDescent="0.2">
      <c r="B231" s="381">
        <v>2006</v>
      </c>
      <c r="C231" s="630">
        <v>197.3</v>
      </c>
      <c r="D231" s="630">
        <v>201.3</v>
      </c>
      <c r="E231" s="630">
        <v>203.2</v>
      </c>
      <c r="F231" s="630">
        <v>204.2</v>
      </c>
      <c r="G231" s="630">
        <v>211.4</v>
      </c>
      <c r="H231" s="630">
        <v>211.4</v>
      </c>
      <c r="I231" s="630">
        <v>213.3</v>
      </c>
      <c r="J231" s="630">
        <v>216.6</v>
      </c>
      <c r="K231" s="630">
        <v>221.4</v>
      </c>
      <c r="L231" s="630">
        <v>222.8</v>
      </c>
      <c r="M231" s="630">
        <v>225</v>
      </c>
      <c r="N231" s="630">
        <v>224.4</v>
      </c>
      <c r="O231" s="608">
        <f t="shared" si="14"/>
        <v>212.69166666666669</v>
      </c>
      <c r="Q231" s="257"/>
      <c r="R231" s="257"/>
      <c r="S231" s="257"/>
      <c r="T231" s="257"/>
    </row>
    <row r="232" spans="2:20" x14ac:dyDescent="0.2">
      <c r="B232" s="381">
        <v>2007</v>
      </c>
      <c r="C232" s="630">
        <v>225.12299999999999</v>
      </c>
      <c r="D232" s="630">
        <v>228.06700000000001</v>
      </c>
      <c r="E232" s="630">
        <v>227.535</v>
      </c>
      <c r="F232" s="630">
        <v>229.30199999999999</v>
      </c>
      <c r="G232" s="630">
        <v>229.62100000000001</v>
      </c>
      <c r="H232" s="630">
        <v>226.59800000000001</v>
      </c>
      <c r="I232" s="630">
        <v>231.636</v>
      </c>
      <c r="J232" s="630">
        <v>230.655</v>
      </c>
      <c r="K232" s="630">
        <v>232.78700000000001</v>
      </c>
      <c r="L232" s="630">
        <v>233.46600000000001</v>
      </c>
      <c r="M232" s="630">
        <v>238.352</v>
      </c>
      <c r="N232" s="630">
        <v>240.51</v>
      </c>
      <c r="O232" s="608">
        <f t="shared" si="14"/>
        <v>231.13766666666666</v>
      </c>
      <c r="Q232" s="257"/>
      <c r="R232" s="257"/>
      <c r="S232" s="257"/>
      <c r="T232" s="257"/>
    </row>
    <row r="233" spans="2:20" x14ac:dyDescent="0.2">
      <c r="B233" s="381">
        <v>2008</v>
      </c>
      <c r="C233" s="630">
        <v>246.53200000000001</v>
      </c>
      <c r="D233" s="630">
        <v>247.51300000000001</v>
      </c>
      <c r="E233" s="630">
        <v>255.024</v>
      </c>
      <c r="F233" s="630">
        <v>254.904</v>
      </c>
      <c r="G233" s="630">
        <v>256.548</v>
      </c>
      <c r="H233" s="630">
        <v>260.90699999999998</v>
      </c>
      <c r="I233" s="630">
        <v>268.07499999999999</v>
      </c>
      <c r="J233" s="630">
        <v>275.952</v>
      </c>
      <c r="K233" s="630">
        <v>276.947</v>
      </c>
      <c r="L233" s="630">
        <v>291.17899999999997</v>
      </c>
      <c r="M233" s="630">
        <v>297.23599999999999</v>
      </c>
      <c r="N233" s="630">
        <v>298.12099999999998</v>
      </c>
      <c r="O233" s="608">
        <f t="shared" si="14"/>
        <v>269.07816666666668</v>
      </c>
      <c r="Q233" s="257"/>
      <c r="R233" s="257"/>
      <c r="S233" s="257"/>
      <c r="T233" s="257"/>
    </row>
    <row r="234" spans="2:20" x14ac:dyDescent="0.2">
      <c r="B234" s="381">
        <v>2009</v>
      </c>
      <c r="C234" s="630">
        <v>300.173</v>
      </c>
      <c r="D234" s="630">
        <v>301.12599999999998</v>
      </c>
      <c r="E234" s="630">
        <v>299.072</v>
      </c>
      <c r="F234" s="630">
        <v>297.38099999999997</v>
      </c>
      <c r="G234" s="630">
        <v>295.58199999999999</v>
      </c>
      <c r="H234" s="630">
        <v>291.012</v>
      </c>
      <c r="I234" s="630">
        <v>291.07400000000001</v>
      </c>
      <c r="J234" s="630">
        <v>289.93599999999998</v>
      </c>
      <c r="K234" s="630">
        <v>290.95800000000003</v>
      </c>
      <c r="L234" s="630">
        <v>291.50599999999997</v>
      </c>
      <c r="M234" s="630">
        <v>291.35899999999998</v>
      </c>
      <c r="N234" s="630">
        <v>292.33699999999999</v>
      </c>
      <c r="O234" s="608">
        <f t="shared" si="14"/>
        <v>294.29299999999995</v>
      </c>
      <c r="Q234" s="257"/>
      <c r="R234" s="257"/>
      <c r="S234" s="257"/>
      <c r="T234" s="257"/>
    </row>
    <row r="235" spans="2:20" x14ac:dyDescent="0.2">
      <c r="B235" s="381">
        <v>2010</v>
      </c>
      <c r="C235" s="630">
        <v>293.02699999999999</v>
      </c>
      <c r="D235" s="630">
        <v>297.67599999999999</v>
      </c>
      <c r="E235" s="630">
        <v>295.96699999999998</v>
      </c>
      <c r="F235" s="630">
        <v>302.68799999999999</v>
      </c>
      <c r="G235" s="630">
        <v>305.22699999999998</v>
      </c>
      <c r="H235" s="630">
        <v>307.18400000000003</v>
      </c>
      <c r="I235" s="630">
        <v>307.786</v>
      </c>
      <c r="J235" s="630">
        <v>306.41399999999999</v>
      </c>
      <c r="K235" s="630">
        <v>312.53100000000001</v>
      </c>
      <c r="L235" s="630">
        <v>312.83100000000002</v>
      </c>
      <c r="M235" s="630">
        <v>312.24200000000002</v>
      </c>
      <c r="N235" s="630">
        <v>311.036</v>
      </c>
      <c r="O235" s="608">
        <f t="shared" si="14"/>
        <v>305.38408333333336</v>
      </c>
      <c r="Q235" s="257"/>
      <c r="R235" s="257"/>
      <c r="S235" s="257"/>
      <c r="T235" s="257"/>
    </row>
    <row r="236" spans="2:20" x14ac:dyDescent="0.2">
      <c r="B236" s="381">
        <v>2011</v>
      </c>
      <c r="C236" s="630">
        <v>311.577</v>
      </c>
      <c r="D236" s="630">
        <v>310.12799999999999</v>
      </c>
      <c r="E236" s="630">
        <v>312.12299999999999</v>
      </c>
      <c r="F236" s="630">
        <v>320.31299999999999</v>
      </c>
      <c r="G236" s="630">
        <v>328.10500000000002</v>
      </c>
      <c r="H236" s="630">
        <v>330.97300000000001</v>
      </c>
      <c r="I236" s="630">
        <v>342.125</v>
      </c>
      <c r="J236" s="630">
        <v>349.53399999999999</v>
      </c>
      <c r="K236" s="630">
        <v>353.59699999999998</v>
      </c>
      <c r="L236" s="630">
        <v>350.613</v>
      </c>
      <c r="M236" s="630">
        <v>351.51400000000001</v>
      </c>
      <c r="N236" s="630">
        <v>354.17</v>
      </c>
      <c r="O236" s="608">
        <f t="shared" si="14"/>
        <v>334.56433333333337</v>
      </c>
      <c r="Q236" s="257"/>
      <c r="R236" s="257"/>
      <c r="S236" s="257"/>
      <c r="T236" s="257"/>
    </row>
    <row r="237" spans="2:20" x14ac:dyDescent="0.2">
      <c r="B237" s="381">
        <v>2012</v>
      </c>
      <c r="C237" s="630">
        <v>354.37799999999999</v>
      </c>
      <c r="D237" s="630">
        <v>353.09800000000001</v>
      </c>
      <c r="E237" s="630">
        <v>359.59</v>
      </c>
      <c r="F237" s="630">
        <v>361.20299999999997</v>
      </c>
      <c r="G237" s="630">
        <v>361.495</v>
      </c>
      <c r="H237" s="630">
        <v>362.50700000000001</v>
      </c>
      <c r="I237" s="630">
        <v>360.69</v>
      </c>
      <c r="J237" s="630">
        <v>356.49299999999999</v>
      </c>
      <c r="K237" s="630">
        <v>364.43900000000002</v>
      </c>
      <c r="L237" s="630">
        <v>351.72300000000001</v>
      </c>
      <c r="M237" s="630">
        <v>365.286</v>
      </c>
      <c r="N237" s="630">
        <v>364.25099999999998</v>
      </c>
      <c r="O237" s="608">
        <f t="shared" si="14"/>
        <v>359.59608333333335</v>
      </c>
      <c r="Q237" s="257"/>
      <c r="R237" s="257"/>
      <c r="S237" s="257"/>
      <c r="T237" s="257"/>
    </row>
    <row r="238" spans="2:20" x14ac:dyDescent="0.2">
      <c r="B238" s="381">
        <v>2013</v>
      </c>
      <c r="C238" s="630">
        <v>362.78</v>
      </c>
      <c r="D238" s="630">
        <v>362.72800000000001</v>
      </c>
      <c r="E238" s="630">
        <v>359.25</v>
      </c>
      <c r="F238" s="630">
        <v>364.24400000000003</v>
      </c>
      <c r="G238" s="630">
        <v>361.38299999999998</v>
      </c>
      <c r="H238" s="630">
        <v>358.57900000000001</v>
      </c>
      <c r="I238" s="630">
        <v>356.81700000000001</v>
      </c>
      <c r="J238" s="630">
        <v>359.94299999999998</v>
      </c>
      <c r="K238" s="630">
        <v>358.76299999999998</v>
      </c>
      <c r="L238" s="630">
        <v>360.88299999999998</v>
      </c>
      <c r="M238" s="630">
        <v>361.77</v>
      </c>
      <c r="N238" s="630">
        <v>363.48</v>
      </c>
      <c r="O238" s="608">
        <f t="shared" si="14"/>
        <v>360.88499999999999</v>
      </c>
      <c r="Q238" s="257"/>
      <c r="R238" s="257"/>
      <c r="S238" s="257"/>
      <c r="T238" s="257"/>
    </row>
    <row r="239" spans="2:20" x14ac:dyDescent="0.2">
      <c r="B239" s="381">
        <v>2014</v>
      </c>
      <c r="C239" s="630">
        <v>362.33699999999999</v>
      </c>
      <c r="D239" s="630">
        <v>362.46499999999997</v>
      </c>
      <c r="E239" s="630">
        <v>364.98</v>
      </c>
      <c r="F239" s="630">
        <v>363.51</v>
      </c>
      <c r="G239" s="630">
        <v>366.49400000000003</v>
      </c>
      <c r="H239" s="630">
        <v>368.84399999999999</v>
      </c>
      <c r="I239" s="630">
        <v>364.858</v>
      </c>
      <c r="J239" s="630">
        <v>370.48700000000002</v>
      </c>
      <c r="K239" s="630">
        <v>368.072</v>
      </c>
      <c r="L239" s="630">
        <v>370.78699999999998</v>
      </c>
      <c r="M239" s="630">
        <v>369.053</v>
      </c>
      <c r="N239" s="630">
        <v>372.142</v>
      </c>
      <c r="O239" s="608">
        <f t="shared" si="14"/>
        <v>367.0024166666667</v>
      </c>
      <c r="Q239" s="257"/>
      <c r="R239" s="257"/>
      <c r="S239" s="257"/>
      <c r="T239" s="257"/>
    </row>
    <row r="240" spans="2:20" x14ac:dyDescent="0.2">
      <c r="B240" s="381">
        <v>2015</v>
      </c>
      <c r="C240" s="630">
        <v>371.06400000000002</v>
      </c>
      <c r="D240" s="630">
        <v>368.69499999999999</v>
      </c>
      <c r="E240" s="630">
        <v>369.94799999999998</v>
      </c>
      <c r="F240" s="630">
        <v>374.84800000000001</v>
      </c>
      <c r="G240" s="630">
        <v>371.55799999999999</v>
      </c>
      <c r="H240" s="630">
        <v>366.38600000000002</v>
      </c>
      <c r="I240" s="630">
        <v>367.29</v>
      </c>
      <c r="J240" s="630">
        <v>368.98200000000003</v>
      </c>
      <c r="K240" s="630">
        <v>371.42899999999997</v>
      </c>
      <c r="L240" s="630">
        <v>362.512</v>
      </c>
      <c r="M240" s="630">
        <v>365.84199999999998</v>
      </c>
      <c r="N240" s="630">
        <v>369.702</v>
      </c>
      <c r="O240" s="608">
        <f t="shared" si="14"/>
        <v>369.02133333333336</v>
      </c>
      <c r="Q240" s="257"/>
      <c r="R240" s="257"/>
      <c r="S240" s="257"/>
      <c r="T240" s="257"/>
    </row>
    <row r="241" spans="2:26" x14ac:dyDescent="0.2">
      <c r="B241" s="381">
        <v>2016</v>
      </c>
      <c r="C241" s="630">
        <v>370.61500000000001</v>
      </c>
      <c r="D241" s="630">
        <v>368.04300000000001</v>
      </c>
      <c r="E241" s="630">
        <v>367.36799999999999</v>
      </c>
      <c r="F241" s="630">
        <v>367.81900000000002</v>
      </c>
      <c r="G241" s="630">
        <v>366.37700000000001</v>
      </c>
      <c r="H241" s="630">
        <v>363.43200000000002</v>
      </c>
      <c r="I241" s="630">
        <v>358.01299999999998</v>
      </c>
      <c r="J241" s="630">
        <v>369.774</v>
      </c>
      <c r="K241" s="630">
        <v>366.95100000000002</v>
      </c>
      <c r="L241" s="630">
        <v>366.75799999999998</v>
      </c>
      <c r="M241" s="631">
        <v>365.90699999999998</v>
      </c>
      <c r="N241" s="631">
        <v>374.12900000000002</v>
      </c>
      <c r="O241" s="608">
        <f t="shared" si="14"/>
        <v>367.09883333333329</v>
      </c>
      <c r="Q241" s="257"/>
      <c r="R241" s="257"/>
      <c r="S241" s="257"/>
      <c r="T241" s="257"/>
    </row>
    <row r="242" spans="2:26" x14ac:dyDescent="0.2">
      <c r="B242" s="381">
        <v>2017</v>
      </c>
      <c r="C242" s="630">
        <v>368.22399999999999</v>
      </c>
      <c r="D242" s="630">
        <v>364.03199999999998</v>
      </c>
      <c r="E242" s="630">
        <v>372.69099999999997</v>
      </c>
      <c r="F242" s="630">
        <v>373.74099999999999</v>
      </c>
      <c r="G242" s="630">
        <v>370.45299999999997</v>
      </c>
      <c r="H242" s="630">
        <v>370.721</v>
      </c>
      <c r="I242" s="630">
        <v>379.81299999999999</v>
      </c>
      <c r="J242" s="630">
        <v>377.363</v>
      </c>
      <c r="K242" s="630">
        <v>373.86900000000003</v>
      </c>
      <c r="L242" s="630">
        <v>374.61399999999998</v>
      </c>
      <c r="M242" s="631">
        <v>386.81099999999998</v>
      </c>
      <c r="N242" s="631">
        <v>381.49200000000002</v>
      </c>
      <c r="O242" s="608">
        <f t="shared" si="14"/>
        <v>374.48533333333336</v>
      </c>
      <c r="Q242" s="257"/>
      <c r="R242" s="257"/>
      <c r="S242" s="257"/>
      <c r="T242" s="257"/>
    </row>
    <row r="243" spans="2:26" x14ac:dyDescent="0.2">
      <c r="B243" s="381">
        <v>2018</v>
      </c>
      <c r="C243" s="630">
        <v>380.45499999999998</v>
      </c>
      <c r="D243" s="630">
        <v>377.14299999999997</v>
      </c>
      <c r="E243" s="630">
        <v>377.42099999999999</v>
      </c>
      <c r="F243" s="630">
        <v>385.84399999999999</v>
      </c>
      <c r="G243" s="630">
        <v>390.16800000000001</v>
      </c>
      <c r="H243" s="630">
        <v>394.31900000000002</v>
      </c>
      <c r="I243" s="630">
        <v>392.27699999999999</v>
      </c>
      <c r="J243" s="630">
        <v>397.113</v>
      </c>
      <c r="K243" s="630">
        <v>399.10899999999998</v>
      </c>
      <c r="L243" s="630">
        <v>382.28699999999998</v>
      </c>
      <c r="M243" s="631">
        <v>398.70100000000002</v>
      </c>
      <c r="N243" s="631"/>
      <c r="O243" s="608">
        <f t="shared" si="14"/>
        <v>388.62154545454541</v>
      </c>
      <c r="Q243" s="257"/>
      <c r="R243" s="257"/>
      <c r="S243" s="257"/>
      <c r="T243" s="257"/>
    </row>
    <row r="244" spans="2:26" x14ac:dyDescent="0.25">
      <c r="C244" s="632"/>
      <c r="D244" s="633"/>
      <c r="E244" s="633"/>
      <c r="F244" s="633"/>
      <c r="G244" s="633"/>
      <c r="H244" s="633"/>
      <c r="I244" s="633"/>
      <c r="J244" s="633"/>
      <c r="K244" s="633"/>
      <c r="L244" s="633"/>
      <c r="M244" s="633"/>
      <c r="N244" s="633"/>
      <c r="Q244" s="257"/>
      <c r="R244" s="257"/>
      <c r="S244" s="257"/>
      <c r="T244" s="257"/>
    </row>
    <row r="245" spans="2:26" s="272" customFormat="1" x14ac:dyDescent="0.25">
      <c r="B245" s="573" t="s">
        <v>519</v>
      </c>
      <c r="C245" s="574" t="s">
        <v>317</v>
      </c>
      <c r="P245" s="269"/>
      <c r="Q245" s="257"/>
      <c r="R245" s="262"/>
      <c r="S245" s="262"/>
      <c r="T245" s="262"/>
      <c r="Y245" s="277"/>
      <c r="Z245" s="625"/>
    </row>
    <row r="246" spans="2:26" s="272" customFormat="1" x14ac:dyDescent="0.25">
      <c r="B246" s="573" t="s">
        <v>514</v>
      </c>
      <c r="C246" s="574"/>
      <c r="P246" s="269"/>
      <c r="Q246" s="257"/>
      <c r="R246" s="262"/>
      <c r="S246" s="262"/>
      <c r="T246" s="262"/>
      <c r="Y246" s="277"/>
      <c r="Z246" s="625"/>
    </row>
    <row r="247" spans="2:26" s="272" customFormat="1" x14ac:dyDescent="0.25">
      <c r="B247" s="573" t="s">
        <v>520</v>
      </c>
      <c r="C247" s="574" t="s">
        <v>505</v>
      </c>
      <c r="P247" s="269"/>
      <c r="Q247" s="257"/>
      <c r="R247" s="262"/>
      <c r="S247" s="262"/>
      <c r="T247" s="262"/>
      <c r="Y247" s="277"/>
      <c r="Z247" s="625"/>
    </row>
    <row r="248" spans="2:26" s="272" customFormat="1" x14ac:dyDescent="0.25">
      <c r="B248" s="626" t="s">
        <v>521</v>
      </c>
      <c r="C248" s="627" t="s">
        <v>311</v>
      </c>
      <c r="D248" s="628"/>
      <c r="E248" s="628"/>
      <c r="F248" s="628"/>
      <c r="G248" s="628"/>
      <c r="H248" s="628"/>
      <c r="I248" s="628"/>
      <c r="J248" s="628"/>
      <c r="K248" s="628"/>
      <c r="L248" s="628"/>
      <c r="M248" s="628"/>
      <c r="N248" s="628"/>
      <c r="O248" s="628"/>
      <c r="P248" s="269"/>
      <c r="Q248" s="257"/>
      <c r="R248" s="262"/>
      <c r="S248" s="262"/>
      <c r="T248" s="262"/>
      <c r="Y248" s="277"/>
      <c r="Z248" s="625"/>
    </row>
    <row r="249" spans="2:26" x14ac:dyDescent="0.25">
      <c r="B249" s="301" t="s">
        <v>522</v>
      </c>
      <c r="C249" s="311" t="s">
        <v>507</v>
      </c>
      <c r="Q249" s="257"/>
      <c r="R249" s="257"/>
      <c r="S249" s="257"/>
      <c r="T249" s="257"/>
    </row>
    <row r="250" spans="2:26" x14ac:dyDescent="0.25">
      <c r="B250" s="301" t="s">
        <v>523</v>
      </c>
      <c r="C250" s="311" t="s">
        <v>524</v>
      </c>
      <c r="Q250" s="257"/>
      <c r="R250" s="257"/>
      <c r="S250" s="257"/>
      <c r="T250" s="257"/>
    </row>
    <row r="251" spans="2:26" x14ac:dyDescent="0.25">
      <c r="B251" s="301" t="s">
        <v>238</v>
      </c>
      <c r="C251" s="258" t="s">
        <v>488</v>
      </c>
      <c r="D251" s="258" t="s">
        <v>489</v>
      </c>
      <c r="E251" s="258" t="s">
        <v>490</v>
      </c>
      <c r="F251" s="258" t="s">
        <v>491</v>
      </c>
      <c r="G251" s="258" t="s">
        <v>492</v>
      </c>
      <c r="H251" s="258" t="s">
        <v>449</v>
      </c>
      <c r="I251" s="258" t="s">
        <v>493</v>
      </c>
      <c r="J251" s="258" t="s">
        <v>494</v>
      </c>
      <c r="K251" s="258" t="s">
        <v>495</v>
      </c>
      <c r="L251" s="258" t="s">
        <v>496</v>
      </c>
      <c r="M251" s="258" t="s">
        <v>497</v>
      </c>
      <c r="N251" s="258" t="s">
        <v>498</v>
      </c>
      <c r="O251" s="258" t="s">
        <v>510</v>
      </c>
      <c r="Q251" s="257"/>
      <c r="R251" s="257"/>
      <c r="S251" s="257"/>
      <c r="T251" s="257"/>
    </row>
    <row r="252" spans="2:26" x14ac:dyDescent="0.25">
      <c r="B252" s="381">
        <v>1997</v>
      </c>
      <c r="C252" s="634">
        <v>161.1</v>
      </c>
      <c r="D252" s="634">
        <v>161.19999999999999</v>
      </c>
      <c r="E252" s="634">
        <v>161.5</v>
      </c>
      <c r="F252" s="634">
        <v>161.9</v>
      </c>
      <c r="G252" s="634">
        <v>162.19999999999999</v>
      </c>
      <c r="H252" s="634">
        <v>162.6</v>
      </c>
      <c r="I252" s="634">
        <v>162.9</v>
      </c>
      <c r="J252" s="634">
        <v>163.30000000000001</v>
      </c>
      <c r="K252" s="634">
        <v>163.5</v>
      </c>
      <c r="L252" s="634">
        <v>163.9</v>
      </c>
      <c r="M252" s="634">
        <v>164</v>
      </c>
      <c r="N252" s="634">
        <v>164.7</v>
      </c>
      <c r="O252" s="608">
        <f>AVERAGE(C252:N252)</f>
        <v>162.73333333333332</v>
      </c>
      <c r="Q252" s="257"/>
      <c r="R252" s="257"/>
      <c r="S252" s="257"/>
      <c r="T252" s="257"/>
    </row>
    <row r="253" spans="2:26" x14ac:dyDescent="0.25">
      <c r="B253" s="381">
        <v>1998</v>
      </c>
      <c r="C253" s="634">
        <v>165</v>
      </c>
      <c r="D253" s="634">
        <v>165.5</v>
      </c>
      <c r="E253" s="634">
        <v>165.7</v>
      </c>
      <c r="F253" s="634">
        <v>165.7</v>
      </c>
      <c r="G253" s="634">
        <v>165.9</v>
      </c>
      <c r="H253" s="634">
        <v>166.5</v>
      </c>
      <c r="I253" s="634">
        <v>166.8</v>
      </c>
      <c r="J253" s="634">
        <v>167.3</v>
      </c>
      <c r="K253" s="634">
        <v>168.3</v>
      </c>
      <c r="L253" s="634">
        <v>169</v>
      </c>
      <c r="M253" s="634">
        <v>169.5</v>
      </c>
      <c r="N253" s="634">
        <v>169.6</v>
      </c>
      <c r="O253" s="608">
        <f t="shared" ref="O253:O273" si="15">AVERAGE(C253:N253)</f>
        <v>167.06666666666663</v>
      </c>
      <c r="Q253" s="257"/>
      <c r="R253" s="257"/>
      <c r="S253" s="257"/>
      <c r="T253" s="257"/>
    </row>
    <row r="254" spans="2:26" x14ac:dyDescent="0.25">
      <c r="B254" s="381">
        <v>1999</v>
      </c>
      <c r="C254" s="634">
        <v>169.8</v>
      </c>
      <c r="D254" s="634">
        <v>170.4</v>
      </c>
      <c r="E254" s="634">
        <v>170.6</v>
      </c>
      <c r="F254" s="634">
        <v>170.9</v>
      </c>
      <c r="G254" s="634">
        <v>171.3</v>
      </c>
      <c r="H254" s="634">
        <v>171.7</v>
      </c>
      <c r="I254" s="634">
        <v>172.1</v>
      </c>
      <c r="J254" s="634">
        <v>172.1</v>
      </c>
      <c r="K254" s="634">
        <v>172.8</v>
      </c>
      <c r="L254" s="634">
        <v>173.2</v>
      </c>
      <c r="M254" s="634">
        <v>173.6</v>
      </c>
      <c r="N254" s="634">
        <v>173.8</v>
      </c>
      <c r="O254" s="608">
        <f t="shared" si="15"/>
        <v>171.85833333333332</v>
      </c>
      <c r="Q254" s="257"/>
      <c r="R254" s="257"/>
      <c r="S254" s="257"/>
      <c r="T254" s="257"/>
    </row>
    <row r="255" spans="2:26" x14ac:dyDescent="0.25">
      <c r="B255" s="381">
        <v>2000</v>
      </c>
      <c r="C255" s="634">
        <v>174.6</v>
      </c>
      <c r="D255" s="634">
        <v>175.2</v>
      </c>
      <c r="E255" s="634">
        <v>175.7</v>
      </c>
      <c r="F255" s="634">
        <v>175.9</v>
      </c>
      <c r="G255" s="634">
        <v>176.3</v>
      </c>
      <c r="H255" s="634">
        <v>176.8</v>
      </c>
      <c r="I255" s="634">
        <v>177.2</v>
      </c>
      <c r="J255" s="634">
        <v>178.2</v>
      </c>
      <c r="K255" s="634">
        <v>178.7</v>
      </c>
      <c r="L255" s="634">
        <v>179.4</v>
      </c>
      <c r="M255" s="634">
        <v>179.9</v>
      </c>
      <c r="N255" s="634">
        <v>179.9</v>
      </c>
      <c r="O255" s="608">
        <f t="shared" si="15"/>
        <v>177.31666666666669</v>
      </c>
      <c r="Q255" s="257"/>
      <c r="R255" s="257"/>
      <c r="S255" s="257"/>
      <c r="T255" s="257"/>
    </row>
    <row r="256" spans="2:26" x14ac:dyDescent="0.25">
      <c r="B256" s="381">
        <v>2001</v>
      </c>
      <c r="C256" s="634">
        <v>180.6</v>
      </c>
      <c r="D256" s="634">
        <v>181.5</v>
      </c>
      <c r="E256" s="634">
        <v>181.7</v>
      </c>
      <c r="F256" s="634">
        <v>181.9</v>
      </c>
      <c r="G256" s="634">
        <v>182.5</v>
      </c>
      <c r="H256" s="634">
        <v>182.7</v>
      </c>
      <c r="I256" s="634">
        <v>183.4</v>
      </c>
      <c r="J256" s="634">
        <v>184</v>
      </c>
      <c r="K256" s="634">
        <v>185.1</v>
      </c>
      <c r="L256" s="634">
        <v>186</v>
      </c>
      <c r="M256" s="634">
        <v>186.4</v>
      </c>
      <c r="N256" s="634">
        <v>186.4</v>
      </c>
      <c r="O256" s="608">
        <f t="shared" si="15"/>
        <v>183.51666666666665</v>
      </c>
      <c r="Q256" s="257"/>
      <c r="R256" s="257"/>
      <c r="S256" s="257"/>
      <c r="T256" s="257"/>
    </row>
    <row r="257" spans="2:20" x14ac:dyDescent="0.25">
      <c r="B257" s="381">
        <v>2002</v>
      </c>
      <c r="C257" s="634">
        <v>187.1</v>
      </c>
      <c r="D257" s="634">
        <v>188</v>
      </c>
      <c r="E257" s="634">
        <v>188.5</v>
      </c>
      <c r="F257" s="634">
        <v>189</v>
      </c>
      <c r="G257" s="634">
        <v>189.9</v>
      </c>
      <c r="H257" s="634">
        <v>190</v>
      </c>
      <c r="I257" s="634">
        <v>189.8</v>
      </c>
      <c r="J257" s="634">
        <v>191</v>
      </c>
      <c r="K257" s="634">
        <v>191.4</v>
      </c>
      <c r="L257" s="634">
        <v>191.8</v>
      </c>
      <c r="M257" s="634">
        <v>192.8</v>
      </c>
      <c r="N257" s="634">
        <v>193.3</v>
      </c>
      <c r="O257" s="608">
        <f t="shared" si="15"/>
        <v>190.2166666666667</v>
      </c>
      <c r="Q257" s="257"/>
      <c r="R257" s="257"/>
      <c r="S257" s="257"/>
      <c r="T257" s="257"/>
    </row>
    <row r="258" spans="2:20" x14ac:dyDescent="0.25">
      <c r="B258" s="381">
        <v>2003</v>
      </c>
      <c r="C258" s="634">
        <v>193.7</v>
      </c>
      <c r="D258" s="634">
        <v>194.5</v>
      </c>
      <c r="E258" s="634">
        <v>194.3</v>
      </c>
      <c r="F258" s="634">
        <v>194.6</v>
      </c>
      <c r="G258" s="634">
        <v>194.9</v>
      </c>
      <c r="H258" s="634">
        <v>195.1</v>
      </c>
      <c r="I258" s="634">
        <v>196</v>
      </c>
      <c r="J258" s="634">
        <v>195.7</v>
      </c>
      <c r="K258" s="634">
        <v>196.2</v>
      </c>
      <c r="L258" s="634">
        <v>196.9</v>
      </c>
      <c r="M258" s="634">
        <v>197.2</v>
      </c>
      <c r="N258" s="634">
        <v>198</v>
      </c>
      <c r="O258" s="608">
        <f t="shared" si="15"/>
        <v>195.59166666666667</v>
      </c>
      <c r="Q258" s="257"/>
      <c r="R258" s="257"/>
      <c r="S258" s="257"/>
      <c r="T258" s="257"/>
    </row>
    <row r="259" spans="2:20" x14ac:dyDescent="0.25">
      <c r="B259" s="381">
        <v>2004</v>
      </c>
      <c r="C259" s="600">
        <v>198.2</v>
      </c>
      <c r="D259" s="600">
        <v>198.2</v>
      </c>
      <c r="E259" s="600">
        <v>198.5</v>
      </c>
      <c r="F259" s="600">
        <v>198.6</v>
      </c>
      <c r="G259" s="600">
        <v>199</v>
      </c>
      <c r="H259" s="600">
        <v>199.7</v>
      </c>
      <c r="I259" s="600">
        <v>200.3</v>
      </c>
      <c r="J259" s="600">
        <v>200.8</v>
      </c>
      <c r="K259" s="600">
        <v>200.7</v>
      </c>
      <c r="L259" s="600">
        <v>201.7</v>
      </c>
      <c r="M259" s="600">
        <v>202.9</v>
      </c>
      <c r="N259" s="600">
        <v>203.3</v>
      </c>
      <c r="O259" s="608">
        <f t="shared" si="15"/>
        <v>200.15833333333333</v>
      </c>
      <c r="Q259" s="257"/>
      <c r="R259" s="257"/>
      <c r="S259" s="257"/>
      <c r="T259" s="257"/>
    </row>
    <row r="260" spans="2:20" x14ac:dyDescent="0.25">
      <c r="B260" s="381">
        <v>2005</v>
      </c>
      <c r="C260" s="600">
        <v>204</v>
      </c>
      <c r="D260" s="600">
        <v>203.9</v>
      </c>
      <c r="E260" s="600">
        <v>204.7</v>
      </c>
      <c r="F260" s="600">
        <v>205</v>
      </c>
      <c r="G260" s="600">
        <v>205.6</v>
      </c>
      <c r="H260" s="600">
        <v>206.1</v>
      </c>
      <c r="I260" s="600">
        <v>206.7</v>
      </c>
      <c r="J260" s="600">
        <v>207.3</v>
      </c>
      <c r="K260" s="600">
        <v>208.7</v>
      </c>
      <c r="L260" s="600">
        <v>209.8</v>
      </c>
      <c r="M260" s="600">
        <v>210.5</v>
      </c>
      <c r="N260" s="600">
        <v>210.7</v>
      </c>
      <c r="O260" s="608">
        <f t="shared" si="15"/>
        <v>206.91666666666666</v>
      </c>
      <c r="Q260" s="257"/>
      <c r="R260" s="257"/>
      <c r="S260" s="257"/>
      <c r="T260" s="257"/>
    </row>
    <row r="261" spans="2:20" x14ac:dyDescent="0.25">
      <c r="B261" s="381">
        <v>2006</v>
      </c>
      <c r="C261" s="600">
        <v>211.2</v>
      </c>
      <c r="D261" s="600">
        <v>212.9</v>
      </c>
      <c r="E261" s="600">
        <v>213.4</v>
      </c>
      <c r="F261" s="600">
        <v>213.9</v>
      </c>
      <c r="G261" s="600">
        <v>214.9</v>
      </c>
      <c r="H261" s="600">
        <v>215.5</v>
      </c>
      <c r="I261" s="600">
        <v>216.7</v>
      </c>
      <c r="J261" s="600">
        <v>216.2</v>
      </c>
      <c r="K261" s="600">
        <v>217</v>
      </c>
      <c r="L261" s="600">
        <v>218.5</v>
      </c>
      <c r="M261" s="600">
        <v>218.5</v>
      </c>
      <c r="N261" s="600">
        <v>218.8</v>
      </c>
      <c r="O261" s="608">
        <f t="shared" si="15"/>
        <v>215.625</v>
      </c>
      <c r="Q261" s="257"/>
      <c r="R261" s="257"/>
      <c r="S261" s="257"/>
      <c r="T261" s="257"/>
    </row>
    <row r="262" spans="2:20" x14ac:dyDescent="0.25">
      <c r="B262" s="381">
        <v>2007</v>
      </c>
      <c r="C262" s="600">
        <v>219.262</v>
      </c>
      <c r="D262" s="600">
        <v>220.53</v>
      </c>
      <c r="E262" s="600">
        <v>221.16</v>
      </c>
      <c r="F262" s="600">
        <v>221.50800000000001</v>
      </c>
      <c r="G262" s="600">
        <v>221.999</v>
      </c>
      <c r="H262" s="600">
        <v>222.553</v>
      </c>
      <c r="I262" s="600">
        <v>223.48699999999999</v>
      </c>
      <c r="J262" s="600">
        <v>224.01900000000001</v>
      </c>
      <c r="K262" s="600">
        <v>224.30199999999999</v>
      </c>
      <c r="L262" s="600">
        <v>224.93899999999999</v>
      </c>
      <c r="M262" s="600">
        <v>225.672</v>
      </c>
      <c r="N262" s="600">
        <v>226.12</v>
      </c>
      <c r="O262" s="608">
        <f t="shared" si="15"/>
        <v>222.96258333333333</v>
      </c>
      <c r="Q262" s="257"/>
      <c r="R262" s="257"/>
      <c r="S262" s="257"/>
      <c r="T262" s="257"/>
    </row>
    <row r="263" spans="2:20" x14ac:dyDescent="0.25">
      <c r="B263" s="381">
        <v>2008</v>
      </c>
      <c r="C263" s="600">
        <v>227.732</v>
      </c>
      <c r="D263" s="600">
        <v>228.73099999999999</v>
      </c>
      <c r="E263" s="600">
        <v>229.76499999999999</v>
      </c>
      <c r="F263" s="600">
        <v>230.52799999999999</v>
      </c>
      <c r="G263" s="600">
        <v>231.73</v>
      </c>
      <c r="H263" s="600">
        <v>233.16200000000001</v>
      </c>
      <c r="I263" s="600">
        <v>234.78800000000001</v>
      </c>
      <c r="J263" s="600">
        <v>236.125</v>
      </c>
      <c r="K263" s="600">
        <v>237.12100000000001</v>
      </c>
      <c r="L263" s="600">
        <v>238.227</v>
      </c>
      <c r="M263" s="600">
        <v>239.048</v>
      </c>
      <c r="N263" s="600">
        <v>239.35599999999999</v>
      </c>
      <c r="O263" s="608">
        <f t="shared" si="15"/>
        <v>233.85941666666659</v>
      </c>
      <c r="Q263" s="257"/>
      <c r="R263" s="257"/>
      <c r="S263" s="257"/>
      <c r="T263" s="257"/>
    </row>
    <row r="264" spans="2:20" x14ac:dyDescent="0.25">
      <c r="B264" s="381">
        <v>2009</v>
      </c>
      <c r="C264" s="600">
        <v>241.07599999999999</v>
      </c>
      <c r="D264" s="600">
        <v>241.68899999999999</v>
      </c>
      <c r="E264" s="600">
        <v>242.11799999999999</v>
      </c>
      <c r="F264" s="600">
        <v>242.649</v>
      </c>
      <c r="G264" s="600">
        <v>242.488</v>
      </c>
      <c r="H264" s="600">
        <v>242.68299999999999</v>
      </c>
      <c r="I264" s="600">
        <v>243.03100000000001</v>
      </c>
      <c r="J264" s="600">
        <v>243.494</v>
      </c>
      <c r="K264" s="600">
        <v>244.49299999999999</v>
      </c>
      <c r="L264" s="600">
        <v>245.393</v>
      </c>
      <c r="M264" s="600">
        <v>245.511</v>
      </c>
      <c r="N264" s="600">
        <v>245.417</v>
      </c>
      <c r="O264" s="608">
        <f t="shared" si="15"/>
        <v>243.33683333333332</v>
      </c>
      <c r="Q264" s="257"/>
      <c r="R264" s="257"/>
      <c r="S264" s="257"/>
      <c r="T264" s="257"/>
    </row>
    <row r="265" spans="2:20" x14ac:dyDescent="0.25">
      <c r="B265" s="381">
        <v>2010</v>
      </c>
      <c r="C265" s="600">
        <v>245.56700000000001</v>
      </c>
      <c r="D265" s="600">
        <v>245.96899999999999</v>
      </c>
      <c r="E265" s="600">
        <v>246.624</v>
      </c>
      <c r="F265" s="600">
        <v>247.35499999999999</v>
      </c>
      <c r="G265" s="600">
        <v>247.31100000000001</v>
      </c>
      <c r="H265" s="600">
        <v>247.63499999999999</v>
      </c>
      <c r="I265" s="600">
        <v>247.536</v>
      </c>
      <c r="J265" s="600">
        <v>248.39</v>
      </c>
      <c r="K265" s="600">
        <v>249.23099999999999</v>
      </c>
      <c r="L265" s="600">
        <v>249.82400000000001</v>
      </c>
      <c r="M265" s="600">
        <v>249.87200000000001</v>
      </c>
      <c r="N265" s="600">
        <v>250.13399999999999</v>
      </c>
      <c r="O265" s="608">
        <f t="shared" si="15"/>
        <v>247.95400000000004</v>
      </c>
      <c r="Q265" s="257"/>
      <c r="R265" s="257"/>
      <c r="S265" s="257"/>
      <c r="T265" s="257"/>
    </row>
    <row r="266" spans="2:20" x14ac:dyDescent="0.25">
      <c r="B266" s="381">
        <v>2011</v>
      </c>
      <c r="C266" s="600">
        <v>250.726</v>
      </c>
      <c r="D266" s="600">
        <v>250.851</v>
      </c>
      <c r="E266" s="600">
        <v>250.82</v>
      </c>
      <c r="F266" s="600">
        <v>251.458</v>
      </c>
      <c r="G266" s="600">
        <v>252.376</v>
      </c>
      <c r="H266" s="600">
        <v>252.529</v>
      </c>
      <c r="I266" s="600">
        <v>252.76900000000001</v>
      </c>
      <c r="J266" s="600">
        <v>253.33699999999999</v>
      </c>
      <c r="K266" s="600">
        <v>255.244</v>
      </c>
      <c r="L266" s="600">
        <v>255.774</v>
      </c>
      <c r="M266" s="600">
        <v>255.66300000000001</v>
      </c>
      <c r="N266" s="600">
        <v>255.64400000000001</v>
      </c>
      <c r="O266" s="608">
        <f t="shared" si="15"/>
        <v>253.09924999999998</v>
      </c>
      <c r="Q266" s="257"/>
      <c r="R266" s="257"/>
      <c r="S266" s="257"/>
      <c r="T266" s="257"/>
    </row>
    <row r="267" spans="2:20" x14ac:dyDescent="0.25">
      <c r="B267" s="381">
        <v>2012</v>
      </c>
      <c r="C267" s="600">
        <v>256.40499999999997</v>
      </c>
      <c r="D267" s="600">
        <v>256.96800000000002</v>
      </c>
      <c r="E267" s="600">
        <v>256.61599999999999</v>
      </c>
      <c r="F267" s="600">
        <v>256.54399999999998</v>
      </c>
      <c r="G267" s="600">
        <v>257.37200000000001</v>
      </c>
      <c r="H267" s="600">
        <v>257.62900000000002</v>
      </c>
      <c r="I267" s="600">
        <v>257.423</v>
      </c>
      <c r="J267" s="600">
        <v>257.64100000000002</v>
      </c>
      <c r="K267" s="600">
        <v>258.024</v>
      </c>
      <c r="L267" s="600">
        <v>258.57799999999997</v>
      </c>
      <c r="M267" s="600">
        <v>258.94299999999998</v>
      </c>
      <c r="N267" s="600">
        <v>258.84500000000003</v>
      </c>
      <c r="O267" s="608">
        <f t="shared" si="15"/>
        <v>257.58233333333334</v>
      </c>
      <c r="Q267" s="257"/>
      <c r="R267" s="257"/>
      <c r="S267" s="257"/>
      <c r="T267" s="257"/>
    </row>
    <row r="268" spans="2:20" x14ac:dyDescent="0.25">
      <c r="B268" s="381">
        <v>2013</v>
      </c>
      <c r="C268" s="600">
        <v>259.75200000000001</v>
      </c>
      <c r="D268" s="600">
        <v>260.23399999999998</v>
      </c>
      <c r="E268" s="600">
        <v>260.15600000000001</v>
      </c>
      <c r="F268" s="600">
        <v>260.34100000000001</v>
      </c>
      <c r="G268" s="600">
        <v>261.065</v>
      </c>
      <c r="H268" s="600">
        <v>261.36</v>
      </c>
      <c r="I268" s="600">
        <v>262.22899999999998</v>
      </c>
      <c r="J268" s="600">
        <v>262.49700000000001</v>
      </c>
      <c r="K268" s="600">
        <v>262.95999999999998</v>
      </c>
      <c r="L268" s="600">
        <v>263.08499999999998</v>
      </c>
      <c r="M268" s="600">
        <v>262.93400000000003</v>
      </c>
      <c r="N268" s="600">
        <v>263.08100000000002</v>
      </c>
      <c r="O268" s="608">
        <f t="shared" si="15"/>
        <v>261.64116666666672</v>
      </c>
      <c r="Q268" s="257"/>
      <c r="R268" s="257"/>
      <c r="S268" s="257"/>
      <c r="T268" s="257"/>
    </row>
    <row r="269" spans="2:20" x14ac:dyDescent="0.25">
      <c r="B269" s="381">
        <v>2014</v>
      </c>
      <c r="C269" s="269">
        <v>263.71800000000002</v>
      </c>
      <c r="D269" s="269">
        <v>264.52300000000002</v>
      </c>
      <c r="E269" s="269">
        <v>264.14600000000002</v>
      </c>
      <c r="F269" s="269">
        <v>264.50799999999998</v>
      </c>
      <c r="G269" s="269">
        <v>265.01299999999998</v>
      </c>
      <c r="H269" s="269">
        <v>265.65600000000001</v>
      </c>
      <c r="I269" s="269">
        <v>266.28199999999998</v>
      </c>
      <c r="J269" s="269">
        <v>266.12900000000002</v>
      </c>
      <c r="K269" s="269">
        <v>267.25599999999997</v>
      </c>
      <c r="L269" s="269">
        <v>268.09399999999999</v>
      </c>
      <c r="M269" s="269">
        <v>268.38900000000001</v>
      </c>
      <c r="N269" s="269">
        <v>268.58800000000002</v>
      </c>
      <c r="O269" s="608">
        <f t="shared" si="15"/>
        <v>266.02516666666668</v>
      </c>
      <c r="Q269" s="257"/>
      <c r="R269" s="257"/>
      <c r="S269" s="257"/>
      <c r="T269" s="257"/>
    </row>
    <row r="270" spans="2:20" x14ac:dyDescent="0.25">
      <c r="B270" s="381">
        <v>2015</v>
      </c>
      <c r="C270" s="269">
        <v>268.86900000000003</v>
      </c>
      <c r="D270" s="269">
        <v>269.13600000000002</v>
      </c>
      <c r="E270" s="269">
        <v>268.90699999999998</v>
      </c>
      <c r="F270" s="269">
        <v>269.94799999999998</v>
      </c>
      <c r="G270" s="269">
        <v>270.76400000000001</v>
      </c>
      <c r="H270" s="269">
        <v>270.98099999999999</v>
      </c>
      <c r="I270" s="269">
        <v>271.17500000000001</v>
      </c>
      <c r="J270" s="269">
        <v>270.83800000000002</v>
      </c>
      <c r="K270" s="269">
        <v>271.11900000000003</v>
      </c>
      <c r="L270" s="269">
        <v>271.80399999999997</v>
      </c>
      <c r="M270" s="269">
        <v>272.08999999999997</v>
      </c>
      <c r="N270" s="269">
        <v>272.96699999999998</v>
      </c>
      <c r="O270" s="608">
        <f t="shared" si="15"/>
        <v>270.71650000000005</v>
      </c>
      <c r="Q270" s="257"/>
      <c r="R270" s="257"/>
      <c r="S270" s="257"/>
      <c r="T270" s="257"/>
    </row>
    <row r="271" spans="2:20" x14ac:dyDescent="0.25">
      <c r="B271" s="381">
        <v>2016</v>
      </c>
      <c r="C271" s="269">
        <v>273.09699999999998</v>
      </c>
      <c r="D271" s="269">
        <v>273.072</v>
      </c>
      <c r="E271" s="269">
        <v>273.98</v>
      </c>
      <c r="F271" s="269">
        <v>274.86399999999998</v>
      </c>
      <c r="G271" s="269">
        <v>275.33100000000002</v>
      </c>
      <c r="H271" s="269">
        <v>275.56299999999999</v>
      </c>
      <c r="I271" s="269">
        <v>276.05799999999999</v>
      </c>
      <c r="J271" s="269">
        <v>275.923</v>
      </c>
      <c r="K271" s="269">
        <v>275.33100000000002</v>
      </c>
      <c r="L271" s="269">
        <v>275.64499999999998</v>
      </c>
      <c r="M271" s="269">
        <v>277.34800000000001</v>
      </c>
      <c r="N271" s="269">
        <v>278.00200000000001</v>
      </c>
      <c r="O271" s="608">
        <f t="shared" si="15"/>
        <v>275.35116666666664</v>
      </c>
      <c r="Q271" s="257"/>
      <c r="R271" s="257"/>
      <c r="S271" s="257"/>
      <c r="T271" s="257"/>
    </row>
    <row r="272" spans="2:20" x14ac:dyDescent="0.25">
      <c r="B272" s="381">
        <v>2017</v>
      </c>
      <c r="C272" s="269">
        <v>279.52300000000002</v>
      </c>
      <c r="D272" s="269">
        <v>279.78199999999998</v>
      </c>
      <c r="E272" s="269">
        <v>279.60000000000002</v>
      </c>
      <c r="F272" s="269">
        <v>280.17</v>
      </c>
      <c r="G272" s="269">
        <v>280.38799999999998</v>
      </c>
      <c r="H272" s="269">
        <v>279.29399999999998</v>
      </c>
      <c r="I272" s="269">
        <v>279.60500000000002</v>
      </c>
      <c r="J272" s="269">
        <v>280.488</v>
      </c>
      <c r="K272" s="269">
        <v>282.20299999999997</v>
      </c>
      <c r="L272" s="269">
        <v>283.25700000000001</v>
      </c>
      <c r="M272" s="269">
        <v>282.50200000000001</v>
      </c>
      <c r="N272" s="269">
        <v>283.10700000000003</v>
      </c>
      <c r="O272" s="608">
        <f t="shared" si="15"/>
        <v>280.8265833333333</v>
      </c>
      <c r="Q272" s="257"/>
      <c r="R272" s="257"/>
      <c r="S272" s="257"/>
      <c r="T272" s="257"/>
    </row>
    <row r="273" spans="2:26" x14ac:dyDescent="0.25">
      <c r="B273" s="381">
        <v>2018</v>
      </c>
      <c r="C273" s="269">
        <v>283.30500000000001</v>
      </c>
      <c r="D273" s="269">
        <v>284.03199999999998</v>
      </c>
      <c r="E273" s="269">
        <v>283.65600000000001</v>
      </c>
      <c r="F273" s="269">
        <v>284.36700000000002</v>
      </c>
      <c r="G273" s="269">
        <v>284.851</v>
      </c>
      <c r="H273" s="269">
        <v>285.75299999999999</v>
      </c>
      <c r="I273" s="269">
        <v>286.06700000000001</v>
      </c>
      <c r="J273" s="269">
        <v>286.93099999999998</v>
      </c>
      <c r="K273" s="269">
        <v>288.45699999999999</v>
      </c>
      <c r="L273" s="269">
        <v>289.05700000000002</v>
      </c>
      <c r="M273" s="269">
        <v>290.11399999999998</v>
      </c>
      <c r="O273" s="608">
        <f t="shared" si="15"/>
        <v>286.05363636363631</v>
      </c>
      <c r="Q273" s="257"/>
      <c r="R273" s="257"/>
      <c r="S273" s="257"/>
      <c r="T273" s="257"/>
    </row>
    <row r="274" spans="2:26" x14ac:dyDescent="0.25">
      <c r="Q274" s="257"/>
      <c r="R274" s="257"/>
      <c r="S274" s="257"/>
      <c r="T274" s="257"/>
    </row>
    <row r="275" spans="2:26" s="272" customFormat="1" x14ac:dyDescent="0.25">
      <c r="B275" s="573" t="s">
        <v>519</v>
      </c>
      <c r="C275" s="574" t="s">
        <v>318</v>
      </c>
      <c r="P275" s="269"/>
      <c r="Q275" s="257"/>
      <c r="R275" s="262"/>
      <c r="S275" s="262"/>
      <c r="T275" s="262"/>
      <c r="Y275" s="277"/>
      <c r="Z275" s="625"/>
    </row>
    <row r="276" spans="2:26" s="272" customFormat="1" x14ac:dyDescent="0.25">
      <c r="B276" s="573" t="s">
        <v>514</v>
      </c>
      <c r="C276" s="574"/>
      <c r="P276" s="269"/>
      <c r="Q276" s="257"/>
      <c r="R276" s="262"/>
      <c r="S276" s="262"/>
      <c r="T276" s="262"/>
      <c r="Y276" s="277"/>
      <c r="Z276" s="625"/>
    </row>
    <row r="277" spans="2:26" s="272" customFormat="1" x14ac:dyDescent="0.25">
      <c r="B277" s="573" t="s">
        <v>520</v>
      </c>
      <c r="C277" s="574" t="s">
        <v>505</v>
      </c>
      <c r="P277" s="269"/>
      <c r="Q277" s="257"/>
      <c r="R277" s="262"/>
      <c r="S277" s="262"/>
      <c r="T277" s="262"/>
      <c r="Y277" s="277"/>
      <c r="Z277" s="625"/>
    </row>
    <row r="278" spans="2:26" s="272" customFormat="1" x14ac:dyDescent="0.25">
      <c r="B278" s="626" t="s">
        <v>521</v>
      </c>
      <c r="C278" s="627" t="s">
        <v>312</v>
      </c>
      <c r="D278" s="628"/>
      <c r="E278" s="628"/>
      <c r="F278" s="628"/>
      <c r="G278" s="628"/>
      <c r="H278" s="628"/>
      <c r="I278" s="628"/>
      <c r="J278" s="628"/>
      <c r="K278" s="628"/>
      <c r="L278" s="628"/>
      <c r="M278" s="628"/>
      <c r="N278" s="628"/>
      <c r="O278" s="628"/>
      <c r="P278" s="269"/>
      <c r="Q278" s="257"/>
      <c r="R278" s="262"/>
      <c r="S278" s="262"/>
      <c r="T278" s="262"/>
      <c r="Y278" s="277"/>
      <c r="Z278" s="625"/>
    </row>
    <row r="279" spans="2:26" x14ac:dyDescent="0.25">
      <c r="B279" s="301" t="s">
        <v>522</v>
      </c>
      <c r="C279" s="311" t="s">
        <v>525</v>
      </c>
      <c r="Q279" s="257"/>
      <c r="R279" s="257"/>
      <c r="S279" s="257"/>
      <c r="T279" s="257"/>
    </row>
    <row r="280" spans="2:26" x14ac:dyDescent="0.25">
      <c r="B280" s="301" t="s">
        <v>523</v>
      </c>
      <c r="C280" s="311" t="s">
        <v>524</v>
      </c>
      <c r="Q280" s="257"/>
      <c r="R280" s="257"/>
      <c r="S280" s="257"/>
      <c r="T280" s="257"/>
    </row>
    <row r="281" spans="2:26" x14ac:dyDescent="0.25">
      <c r="B281" s="301" t="s">
        <v>238</v>
      </c>
      <c r="C281" s="258" t="s">
        <v>488</v>
      </c>
      <c r="D281" s="258" t="s">
        <v>489</v>
      </c>
      <c r="E281" s="258" t="s">
        <v>490</v>
      </c>
      <c r="F281" s="258" t="s">
        <v>491</v>
      </c>
      <c r="G281" s="258" t="s">
        <v>492</v>
      </c>
      <c r="H281" s="258" t="s">
        <v>449</v>
      </c>
      <c r="I281" s="258" t="s">
        <v>493</v>
      </c>
      <c r="J281" s="258" t="s">
        <v>494</v>
      </c>
      <c r="K281" s="258" t="s">
        <v>495</v>
      </c>
      <c r="L281" s="258" t="s">
        <v>496</v>
      </c>
      <c r="M281" s="258" t="s">
        <v>497</v>
      </c>
      <c r="N281" s="258" t="s">
        <v>498</v>
      </c>
      <c r="O281" s="258" t="s">
        <v>510</v>
      </c>
      <c r="Q281" s="257"/>
      <c r="R281" s="257"/>
      <c r="S281" s="257"/>
      <c r="T281" s="257"/>
    </row>
    <row r="282" spans="2:26" x14ac:dyDescent="0.25">
      <c r="B282" s="381">
        <v>1997</v>
      </c>
      <c r="C282" s="634">
        <v>152</v>
      </c>
      <c r="D282" s="634">
        <v>152.69999999999999</v>
      </c>
      <c r="E282" s="634">
        <v>152.6</v>
      </c>
      <c r="F282" s="634">
        <v>152.30000000000001</v>
      </c>
      <c r="G282" s="634">
        <v>151.5</v>
      </c>
      <c r="H282" s="634">
        <v>151</v>
      </c>
      <c r="I282" s="634">
        <v>150.80000000000001</v>
      </c>
      <c r="J282" s="634">
        <v>150.19999999999999</v>
      </c>
      <c r="K282" s="634">
        <v>150.19999999999999</v>
      </c>
      <c r="L282" s="634">
        <v>151.1</v>
      </c>
      <c r="M282" s="634">
        <v>151.30000000000001</v>
      </c>
      <c r="N282" s="634">
        <v>151.4</v>
      </c>
      <c r="O282" s="608">
        <f>AVERAGE(C282:N282)</f>
        <v>151.42499999999998</v>
      </c>
      <c r="Q282" s="257"/>
      <c r="R282" s="257"/>
      <c r="S282" s="257"/>
      <c r="T282" s="257"/>
    </row>
    <row r="283" spans="2:26" x14ac:dyDescent="0.25">
      <c r="B283" s="381">
        <v>1998</v>
      </c>
      <c r="C283" s="634">
        <v>151.80000000000001</v>
      </c>
      <c r="D283" s="634">
        <v>151.9</v>
      </c>
      <c r="E283" s="634">
        <v>151.9</v>
      </c>
      <c r="F283" s="634">
        <v>152</v>
      </c>
      <c r="G283" s="634">
        <v>150.80000000000001</v>
      </c>
      <c r="H283" s="634">
        <v>149.69999999999999</v>
      </c>
      <c r="I283" s="634">
        <v>150.1</v>
      </c>
      <c r="J283" s="634">
        <v>150.4</v>
      </c>
      <c r="K283" s="634">
        <v>150.19999999999999</v>
      </c>
      <c r="L283" s="634">
        <v>150.19999999999999</v>
      </c>
      <c r="M283" s="634">
        <v>151.5</v>
      </c>
      <c r="N283" s="634">
        <v>152.1</v>
      </c>
      <c r="O283" s="608">
        <f t="shared" ref="O283:O303" si="16">AVERAGE(C283:N283)</f>
        <v>151.05000000000001</v>
      </c>
      <c r="Q283" s="257"/>
      <c r="R283" s="257"/>
      <c r="S283" s="257"/>
      <c r="T283" s="257"/>
    </row>
    <row r="284" spans="2:26" x14ac:dyDescent="0.25">
      <c r="B284" s="381">
        <v>1999</v>
      </c>
      <c r="C284" s="634">
        <v>152.6</v>
      </c>
      <c r="D284" s="634">
        <v>152.4</v>
      </c>
      <c r="E284" s="634">
        <v>152</v>
      </c>
      <c r="F284" s="634">
        <v>152.19999999999999</v>
      </c>
      <c r="G284" s="634">
        <v>151.9</v>
      </c>
      <c r="H284" s="634">
        <v>151.9</v>
      </c>
      <c r="I284" s="634">
        <v>151.5</v>
      </c>
      <c r="J284" s="634">
        <v>150.9</v>
      </c>
      <c r="K284" s="634">
        <v>151</v>
      </c>
      <c r="L284" s="634">
        <v>151.80000000000001</v>
      </c>
      <c r="M284" s="634">
        <v>152.69999999999999</v>
      </c>
      <c r="N284" s="634">
        <v>153.1</v>
      </c>
      <c r="O284" s="608">
        <f t="shared" si="16"/>
        <v>152</v>
      </c>
      <c r="Q284" s="257"/>
      <c r="R284" s="257"/>
      <c r="S284" s="257"/>
      <c r="T284" s="257"/>
    </row>
    <row r="285" spans="2:26" x14ac:dyDescent="0.25">
      <c r="B285" s="381">
        <v>2000</v>
      </c>
      <c r="C285" s="634">
        <v>152.4</v>
      </c>
      <c r="D285" s="634">
        <v>151.9</v>
      </c>
      <c r="E285" s="634">
        <v>152.30000000000001</v>
      </c>
      <c r="F285" s="634">
        <v>152.80000000000001</v>
      </c>
      <c r="G285" s="634">
        <v>152.6</v>
      </c>
      <c r="H285" s="634">
        <v>152.1</v>
      </c>
      <c r="I285" s="634">
        <v>151.4</v>
      </c>
      <c r="J285" s="634">
        <v>150.80000000000001</v>
      </c>
      <c r="K285" s="634">
        <v>150</v>
      </c>
      <c r="L285" s="634">
        <v>150.1</v>
      </c>
      <c r="M285" s="634">
        <v>151.19999999999999</v>
      </c>
      <c r="N285" s="634">
        <v>152.19999999999999</v>
      </c>
      <c r="O285" s="608">
        <f t="shared" si="16"/>
        <v>151.65</v>
      </c>
      <c r="Q285" s="257"/>
      <c r="R285" s="257"/>
      <c r="S285" s="257"/>
      <c r="T285" s="257"/>
    </row>
    <row r="286" spans="2:26" x14ac:dyDescent="0.25">
      <c r="B286" s="381">
        <v>2001</v>
      </c>
      <c r="C286" s="634">
        <v>152.6</v>
      </c>
      <c r="D286" s="634">
        <v>152.19999999999999</v>
      </c>
      <c r="E286" s="634">
        <v>151.6</v>
      </c>
      <c r="F286" s="634">
        <v>151.4</v>
      </c>
      <c r="G286" s="634">
        <v>150.9</v>
      </c>
      <c r="H286" s="634">
        <v>150.30000000000001</v>
      </c>
      <c r="I286" s="634">
        <v>149.69999999999999</v>
      </c>
      <c r="J286" s="634">
        <v>148.69999999999999</v>
      </c>
      <c r="K286" s="634">
        <v>148.4</v>
      </c>
      <c r="L286" s="634">
        <v>149.6</v>
      </c>
      <c r="M286" s="634">
        <v>151.30000000000001</v>
      </c>
      <c r="N286" s="634">
        <v>152</v>
      </c>
      <c r="O286" s="608">
        <f t="shared" si="16"/>
        <v>150.72499999999999</v>
      </c>
      <c r="Q286" s="257"/>
      <c r="R286" s="257"/>
      <c r="S286" s="257"/>
      <c r="T286" s="257"/>
    </row>
    <row r="287" spans="2:26" x14ac:dyDescent="0.25">
      <c r="B287" s="381">
        <v>2002</v>
      </c>
      <c r="C287" s="634">
        <v>150.9</v>
      </c>
      <c r="D287" s="634">
        <v>148.9</v>
      </c>
      <c r="E287" s="634">
        <v>148.19999999999999</v>
      </c>
      <c r="F287" s="634">
        <v>147.9</v>
      </c>
      <c r="G287" s="634">
        <v>147.30000000000001</v>
      </c>
      <c r="H287" s="634">
        <v>146.69999999999999</v>
      </c>
      <c r="I287" s="634">
        <v>146.4</v>
      </c>
      <c r="J287" s="634">
        <v>145.80000000000001</v>
      </c>
      <c r="K287" s="634">
        <v>146.69999999999999</v>
      </c>
      <c r="L287" s="634">
        <v>147.5</v>
      </c>
      <c r="M287" s="634">
        <v>148.30000000000001</v>
      </c>
      <c r="N287" s="634">
        <v>148.6</v>
      </c>
      <c r="O287" s="608">
        <f t="shared" si="16"/>
        <v>147.76666666666668</v>
      </c>
      <c r="Q287" s="257"/>
      <c r="R287" s="257"/>
      <c r="S287" s="257"/>
      <c r="T287" s="257"/>
    </row>
    <row r="288" spans="2:26" x14ac:dyDescent="0.25">
      <c r="B288" s="381">
        <v>2003</v>
      </c>
      <c r="C288" s="634">
        <v>147.9</v>
      </c>
      <c r="D288" s="634">
        <v>147.5</v>
      </c>
      <c r="E288" s="634">
        <v>147.6</v>
      </c>
      <c r="F288" s="634">
        <v>146.9</v>
      </c>
      <c r="G288" s="634">
        <v>146.19999999999999</v>
      </c>
      <c r="H288" s="634">
        <v>145.30000000000001</v>
      </c>
      <c r="I288" s="634">
        <v>144.80000000000001</v>
      </c>
      <c r="J288" s="634">
        <v>144.9</v>
      </c>
      <c r="K288" s="634">
        <v>144.80000000000001</v>
      </c>
      <c r="L288" s="634">
        <v>144.6</v>
      </c>
      <c r="M288" s="634">
        <v>145.9</v>
      </c>
      <c r="N288" s="634">
        <v>146.4</v>
      </c>
      <c r="O288" s="608">
        <f t="shared" si="16"/>
        <v>146.06666666666666</v>
      </c>
      <c r="Q288" s="257"/>
      <c r="R288" s="257"/>
      <c r="S288" s="257"/>
      <c r="T288" s="257"/>
    </row>
    <row r="289" spans="2:20" x14ac:dyDescent="0.25">
      <c r="B289" s="381">
        <v>2004</v>
      </c>
      <c r="C289" s="600">
        <v>146.5</v>
      </c>
      <c r="D289" s="600">
        <v>146.9</v>
      </c>
      <c r="E289" s="600">
        <v>146.19999999999999</v>
      </c>
      <c r="F289" s="600">
        <v>146</v>
      </c>
      <c r="G289" s="600">
        <v>145.30000000000001</v>
      </c>
      <c r="H289" s="600">
        <v>144.9</v>
      </c>
      <c r="I289" s="600">
        <v>143.6</v>
      </c>
      <c r="J289" s="600">
        <v>142.4</v>
      </c>
      <c r="K289" s="600">
        <v>142.4</v>
      </c>
      <c r="L289" s="600">
        <v>143.1</v>
      </c>
      <c r="M289" s="600">
        <v>145.5</v>
      </c>
      <c r="N289" s="600">
        <v>147.19999999999999</v>
      </c>
      <c r="O289" s="608">
        <f t="shared" si="16"/>
        <v>145</v>
      </c>
      <c r="Q289" s="257"/>
      <c r="R289" s="257"/>
      <c r="S289" s="257"/>
      <c r="T289" s="257"/>
    </row>
    <row r="290" spans="2:20" x14ac:dyDescent="0.25">
      <c r="B290" s="381">
        <v>2005</v>
      </c>
      <c r="C290" s="600">
        <v>148.4</v>
      </c>
      <c r="D290" s="600">
        <v>148.5</v>
      </c>
      <c r="E290" s="600">
        <v>147.4</v>
      </c>
      <c r="F290" s="600">
        <v>146.9</v>
      </c>
      <c r="G290" s="600">
        <v>146.80000000000001</v>
      </c>
      <c r="H290" s="600">
        <v>145.9</v>
      </c>
      <c r="I290" s="600">
        <v>143.30000000000001</v>
      </c>
      <c r="J290" s="600">
        <v>141.69999999999999</v>
      </c>
      <c r="K290" s="600">
        <v>142.4</v>
      </c>
      <c r="L290" s="600">
        <v>143.6</v>
      </c>
      <c r="M290" s="600">
        <v>144.30000000000001</v>
      </c>
      <c r="N290" s="600">
        <v>144.4</v>
      </c>
      <c r="O290" s="608">
        <f t="shared" si="16"/>
        <v>145.30000000000001</v>
      </c>
      <c r="Q290" s="257"/>
      <c r="R290" s="257"/>
      <c r="S290" s="257"/>
      <c r="T290" s="257"/>
    </row>
    <row r="291" spans="2:20" x14ac:dyDescent="0.25">
      <c r="B291" s="381">
        <v>2006</v>
      </c>
      <c r="C291" s="600">
        <v>145.19999999999999</v>
      </c>
      <c r="D291" s="600">
        <v>145.4</v>
      </c>
      <c r="E291" s="600">
        <v>145</v>
      </c>
      <c r="F291" s="600">
        <v>144.4</v>
      </c>
      <c r="G291" s="600">
        <v>143.4</v>
      </c>
      <c r="H291" s="600">
        <v>142.69999999999999</v>
      </c>
      <c r="I291" s="600">
        <v>142.19999999999999</v>
      </c>
      <c r="J291" s="600">
        <v>141.4</v>
      </c>
      <c r="K291" s="600">
        <v>140.9</v>
      </c>
      <c r="L291" s="600">
        <v>141.4</v>
      </c>
      <c r="M291" s="600">
        <v>141.1</v>
      </c>
      <c r="N291" s="600">
        <v>141.5</v>
      </c>
      <c r="O291" s="608">
        <f t="shared" si="16"/>
        <v>142.88333333333335</v>
      </c>
      <c r="Q291" s="257"/>
      <c r="R291" s="257"/>
      <c r="S291" s="257"/>
      <c r="T291" s="257"/>
    </row>
    <row r="292" spans="2:20" x14ac:dyDescent="0.25">
      <c r="B292" s="381">
        <v>2007</v>
      </c>
      <c r="C292" s="600">
        <v>142.19</v>
      </c>
      <c r="D292" s="600">
        <v>142.00200000000001</v>
      </c>
      <c r="E292" s="600">
        <v>141.982</v>
      </c>
      <c r="F292" s="600">
        <v>141.624</v>
      </c>
      <c r="G292" s="600">
        <v>140.95400000000001</v>
      </c>
      <c r="H292" s="600">
        <v>140.15199999999999</v>
      </c>
      <c r="I292" s="600">
        <v>139.69</v>
      </c>
      <c r="J292" s="600">
        <v>139.47900000000001</v>
      </c>
      <c r="K292" s="600">
        <v>139.191</v>
      </c>
      <c r="L292" s="600">
        <v>139.51300000000001</v>
      </c>
      <c r="M292" s="600">
        <v>140.60400000000001</v>
      </c>
      <c r="N292" s="600">
        <v>141.191</v>
      </c>
      <c r="O292" s="608">
        <f t="shared" si="16"/>
        <v>140.71433333333334</v>
      </c>
      <c r="Q292" s="257"/>
      <c r="R292" s="257"/>
      <c r="S292" s="257"/>
      <c r="T292" s="257"/>
    </row>
    <row r="293" spans="2:20" x14ac:dyDescent="0.25">
      <c r="B293" s="381">
        <v>2008</v>
      </c>
      <c r="C293" s="600">
        <v>141.47800000000001</v>
      </c>
      <c r="D293" s="600">
        <v>141.048</v>
      </c>
      <c r="E293" s="600">
        <v>140.249</v>
      </c>
      <c r="F293" s="600">
        <v>139.30000000000001</v>
      </c>
      <c r="G293" s="600">
        <v>138.50700000000001</v>
      </c>
      <c r="H293" s="600">
        <v>137.886</v>
      </c>
      <c r="I293" s="600">
        <v>137.07300000000001</v>
      </c>
      <c r="J293" s="600">
        <v>135.19399999999999</v>
      </c>
      <c r="K293" s="600">
        <v>133.67400000000001</v>
      </c>
      <c r="L293" s="600">
        <v>133.63999999999999</v>
      </c>
      <c r="M293" s="600">
        <v>133.697</v>
      </c>
      <c r="N293" s="600">
        <v>133.65700000000001</v>
      </c>
      <c r="O293" s="608">
        <f t="shared" si="16"/>
        <v>137.11691666666667</v>
      </c>
      <c r="Q293" s="257"/>
      <c r="R293" s="257"/>
      <c r="S293" s="257"/>
      <c r="T293" s="257"/>
    </row>
    <row r="294" spans="2:20" x14ac:dyDescent="0.25">
      <c r="B294" s="381">
        <v>2009</v>
      </c>
      <c r="C294" s="600">
        <v>134.80600000000001</v>
      </c>
      <c r="D294" s="600">
        <v>136.54900000000001</v>
      </c>
      <c r="E294" s="600">
        <v>137.553</v>
      </c>
      <c r="F294" s="600">
        <v>138.017</v>
      </c>
      <c r="G294" s="600">
        <v>138.44900000000001</v>
      </c>
      <c r="H294" s="600">
        <v>139.256</v>
      </c>
      <c r="I294" s="600">
        <v>139.602</v>
      </c>
      <c r="J294" s="600">
        <v>137.93100000000001</v>
      </c>
      <c r="K294" s="600">
        <v>138.297</v>
      </c>
      <c r="L294" s="600">
        <v>140.89699999999999</v>
      </c>
      <c r="M294" s="600">
        <v>142.20099999999999</v>
      </c>
      <c r="N294" s="600">
        <v>142.52000000000001</v>
      </c>
      <c r="O294" s="608">
        <f t="shared" si="16"/>
        <v>138.83983333333333</v>
      </c>
      <c r="Q294" s="257"/>
      <c r="R294" s="257"/>
      <c r="S294" s="257"/>
      <c r="T294" s="257"/>
    </row>
    <row r="295" spans="2:20" x14ac:dyDescent="0.25">
      <c r="B295" s="381">
        <v>2010</v>
      </c>
      <c r="C295" s="600">
        <v>142.755</v>
      </c>
      <c r="D295" s="600">
        <v>143.17599999999999</v>
      </c>
      <c r="E295" s="600">
        <v>143.22800000000001</v>
      </c>
      <c r="F295" s="600">
        <v>142.923</v>
      </c>
      <c r="G295" s="600">
        <v>142.33199999999999</v>
      </c>
      <c r="H295" s="600">
        <v>142.04900000000001</v>
      </c>
      <c r="I295" s="600">
        <v>141.953</v>
      </c>
      <c r="J295" s="600">
        <v>141.93899999999999</v>
      </c>
      <c r="K295" s="600">
        <v>142.17599999999999</v>
      </c>
      <c r="L295" s="600">
        <v>142.55600000000001</v>
      </c>
      <c r="M295" s="600">
        <v>143.34100000000001</v>
      </c>
      <c r="N295" s="600">
        <v>143.91499999999999</v>
      </c>
      <c r="O295" s="608">
        <f t="shared" si="16"/>
        <v>142.69524999999999</v>
      </c>
      <c r="Q295" s="257"/>
      <c r="R295" s="257"/>
      <c r="S295" s="257"/>
      <c r="T295" s="257"/>
    </row>
    <row r="296" spans="2:20" x14ac:dyDescent="0.25">
      <c r="B296" s="381">
        <v>2011</v>
      </c>
      <c r="C296" s="600">
        <v>144.57</v>
      </c>
      <c r="D296" s="600">
        <v>145.84299999999999</v>
      </c>
      <c r="E296" s="600">
        <v>146.49199999999999</v>
      </c>
      <c r="F296" s="600">
        <v>146.852</v>
      </c>
      <c r="G296" s="600">
        <v>147.292</v>
      </c>
      <c r="H296" s="600">
        <v>147.27500000000001</v>
      </c>
      <c r="I296" s="600">
        <v>146.87</v>
      </c>
      <c r="J296" s="600">
        <v>146.40100000000001</v>
      </c>
      <c r="K296" s="600">
        <v>146.238</v>
      </c>
      <c r="L296" s="600">
        <v>146.607</v>
      </c>
      <c r="M296" s="600">
        <v>146.91499999999999</v>
      </c>
      <c r="N296" s="600">
        <v>147.21</v>
      </c>
      <c r="O296" s="608">
        <f t="shared" si="16"/>
        <v>146.54708333333335</v>
      </c>
      <c r="Q296" s="257"/>
      <c r="R296" s="257"/>
      <c r="S296" s="257"/>
      <c r="T296" s="257"/>
    </row>
    <row r="297" spans="2:20" x14ac:dyDescent="0.25">
      <c r="B297" s="381">
        <v>2012</v>
      </c>
      <c r="C297" s="600">
        <v>148.26900000000001</v>
      </c>
      <c r="D297" s="600">
        <v>149.50700000000001</v>
      </c>
      <c r="E297" s="600">
        <v>149.667</v>
      </c>
      <c r="F297" s="600">
        <v>149.749</v>
      </c>
      <c r="G297" s="600">
        <v>149.404</v>
      </c>
      <c r="H297" s="600">
        <v>149.40600000000001</v>
      </c>
      <c r="I297" s="600">
        <v>149.01400000000001</v>
      </c>
      <c r="J297" s="600">
        <v>148.91499999999999</v>
      </c>
      <c r="K297" s="600">
        <v>149.11799999999999</v>
      </c>
      <c r="L297" s="600">
        <v>149.386</v>
      </c>
      <c r="M297" s="600">
        <v>149.93199999999999</v>
      </c>
      <c r="N297" s="600">
        <v>150.34299999999999</v>
      </c>
      <c r="O297" s="608">
        <f t="shared" si="16"/>
        <v>149.39250000000001</v>
      </c>
      <c r="Q297" s="257"/>
      <c r="R297" s="257"/>
      <c r="S297" s="257"/>
      <c r="T297" s="257"/>
    </row>
    <row r="298" spans="2:20" x14ac:dyDescent="0.25">
      <c r="B298" s="381">
        <v>2013</v>
      </c>
      <c r="C298" s="600">
        <v>151.16399999999999</v>
      </c>
      <c r="D298" s="600">
        <v>151.42599999999999</v>
      </c>
      <c r="E298" s="600">
        <v>151.60400000000001</v>
      </c>
      <c r="F298" s="600">
        <v>152.04300000000001</v>
      </c>
      <c r="G298" s="600">
        <v>151.875</v>
      </c>
      <c r="H298" s="600">
        <v>152.21899999999999</v>
      </c>
      <c r="I298" s="600">
        <v>151.93899999999999</v>
      </c>
      <c r="J298" s="600">
        <v>151.489</v>
      </c>
      <c r="K298" s="600">
        <v>151.881</v>
      </c>
      <c r="L298" s="600">
        <v>151.87700000000001</v>
      </c>
      <c r="M298" s="600">
        <v>152.18100000000001</v>
      </c>
      <c r="N298" s="600">
        <v>152.48099999999999</v>
      </c>
      <c r="O298" s="608">
        <f t="shared" si="16"/>
        <v>151.84825000000001</v>
      </c>
      <c r="Q298" s="257"/>
      <c r="R298" s="257"/>
      <c r="S298" s="257"/>
      <c r="T298" s="257"/>
    </row>
    <row r="299" spans="2:20" x14ac:dyDescent="0.25">
      <c r="B299" s="381">
        <v>2014</v>
      </c>
      <c r="C299" s="600">
        <v>152.67599999999999</v>
      </c>
      <c r="D299" s="600">
        <v>153.35499999999999</v>
      </c>
      <c r="E299" s="600">
        <v>153.27799999999999</v>
      </c>
      <c r="F299" s="600">
        <v>153.87799999999999</v>
      </c>
      <c r="G299" s="600">
        <v>153.82400000000001</v>
      </c>
      <c r="H299" s="600">
        <v>153.107</v>
      </c>
      <c r="I299" s="600">
        <v>153.28700000000001</v>
      </c>
      <c r="J299" s="600">
        <v>153.41300000000001</v>
      </c>
      <c r="K299" s="600">
        <v>153.452</v>
      </c>
      <c r="L299" s="600">
        <v>153.90199999999999</v>
      </c>
      <c r="M299" s="600">
        <v>154.16800000000001</v>
      </c>
      <c r="N299" s="600">
        <v>154.41</v>
      </c>
      <c r="O299" s="608">
        <f t="shared" si="16"/>
        <v>153.56250000000003</v>
      </c>
      <c r="Q299" s="257"/>
      <c r="R299" s="257"/>
      <c r="S299" s="257"/>
      <c r="T299" s="257"/>
    </row>
    <row r="300" spans="2:20" x14ac:dyDescent="0.25">
      <c r="B300" s="381">
        <v>2015</v>
      </c>
      <c r="C300" s="600">
        <v>154.38499999999999</v>
      </c>
      <c r="D300" s="600">
        <v>155.16900000000001</v>
      </c>
      <c r="E300" s="600">
        <v>155.56700000000001</v>
      </c>
      <c r="F300" s="600">
        <v>156.06299999999999</v>
      </c>
      <c r="G300" s="600">
        <v>156.16300000000001</v>
      </c>
      <c r="H300" s="600">
        <v>156.06</v>
      </c>
      <c r="I300" s="600">
        <v>155.58099999999999</v>
      </c>
      <c r="J300" s="600">
        <v>155.08600000000001</v>
      </c>
      <c r="K300" s="600">
        <v>155.096</v>
      </c>
      <c r="L300" s="600">
        <v>155.035</v>
      </c>
      <c r="M300" s="600">
        <v>155.571</v>
      </c>
      <c r="N300" s="600">
        <v>155.51900000000001</v>
      </c>
      <c r="O300" s="608">
        <f t="shared" si="16"/>
        <v>155.44125</v>
      </c>
      <c r="Q300" s="257"/>
      <c r="R300" s="257"/>
      <c r="S300" s="257"/>
      <c r="T300" s="257"/>
    </row>
    <row r="301" spans="2:20" x14ac:dyDescent="0.25">
      <c r="B301" s="381">
        <v>2016</v>
      </c>
      <c r="C301" s="600">
        <v>156.13300000000001</v>
      </c>
      <c r="D301" s="600">
        <v>156.94300000000001</v>
      </c>
      <c r="E301" s="600">
        <v>157.22</v>
      </c>
      <c r="F301" s="600">
        <v>157.02000000000001</v>
      </c>
      <c r="G301" s="600">
        <v>156.78200000000001</v>
      </c>
      <c r="H301" s="600">
        <v>156.43899999999999</v>
      </c>
      <c r="I301" s="600">
        <v>156.291</v>
      </c>
      <c r="J301" s="600">
        <v>155.77099999999999</v>
      </c>
      <c r="K301" s="600">
        <v>155.72200000000001</v>
      </c>
      <c r="L301" s="600">
        <v>156.18899999999999</v>
      </c>
      <c r="M301" s="600">
        <v>156.19300000000001</v>
      </c>
      <c r="N301" s="600">
        <v>156.529</v>
      </c>
      <c r="O301" s="608">
        <f t="shared" si="16"/>
        <v>156.43600000000001</v>
      </c>
      <c r="Q301" s="257"/>
      <c r="R301" s="257"/>
      <c r="S301" s="257"/>
      <c r="T301" s="257"/>
    </row>
    <row r="302" spans="2:20" x14ac:dyDescent="0.25">
      <c r="B302" s="381">
        <v>2017</v>
      </c>
      <c r="C302" s="600">
        <v>158.01</v>
      </c>
      <c r="D302" s="600">
        <v>157.97300000000001</v>
      </c>
      <c r="E302" s="600">
        <v>157.66200000000001</v>
      </c>
      <c r="F302" s="600">
        <v>157.779</v>
      </c>
      <c r="G302" s="600">
        <v>157.57300000000001</v>
      </c>
      <c r="H302" s="600">
        <v>156.79400000000001</v>
      </c>
      <c r="I302" s="600">
        <v>155.93799999999999</v>
      </c>
      <c r="J302" s="600">
        <v>155.613</v>
      </c>
      <c r="K302" s="600">
        <v>155.036</v>
      </c>
      <c r="L302" s="600">
        <v>154.94800000000001</v>
      </c>
      <c r="M302" s="600">
        <v>155.20699999999999</v>
      </c>
      <c r="N302" s="600">
        <v>156.35499999999999</v>
      </c>
      <c r="O302" s="608">
        <f t="shared" si="16"/>
        <v>156.57399999999998</v>
      </c>
      <c r="Q302" s="257"/>
      <c r="R302" s="257"/>
      <c r="S302" s="257"/>
      <c r="T302" s="257"/>
    </row>
    <row r="303" spans="2:20" x14ac:dyDescent="0.25">
      <c r="B303" s="381">
        <v>2018</v>
      </c>
      <c r="C303" s="269">
        <v>156.74600000000001</v>
      </c>
      <c r="D303" s="269">
        <v>156.465</v>
      </c>
      <c r="E303" s="269">
        <v>156.48599999999999</v>
      </c>
      <c r="F303" s="269">
        <v>155.791</v>
      </c>
      <c r="G303" s="269">
        <v>156.00899999999999</v>
      </c>
      <c r="H303" s="269">
        <v>156.178</v>
      </c>
      <c r="I303" s="269">
        <v>155.98500000000001</v>
      </c>
      <c r="J303" s="269">
        <v>155.63999999999999</v>
      </c>
      <c r="K303" s="269">
        <v>154.96299999999999</v>
      </c>
      <c r="L303" s="269">
        <v>154.78700000000001</v>
      </c>
      <c r="M303" s="269">
        <v>155.035</v>
      </c>
      <c r="O303" s="608">
        <f t="shared" si="16"/>
        <v>155.82590909090911</v>
      </c>
      <c r="Q303" s="257"/>
      <c r="R303" s="257"/>
      <c r="S303" s="257"/>
      <c r="T303" s="257"/>
    </row>
    <row r="304" spans="2:20" x14ac:dyDescent="0.25">
      <c r="Q304" s="257"/>
      <c r="R304" s="257"/>
      <c r="S304" s="257"/>
      <c r="T304" s="257"/>
    </row>
    <row r="305" spans="2:26" s="272" customFormat="1" x14ac:dyDescent="0.25">
      <c r="B305" s="573" t="s">
        <v>519</v>
      </c>
      <c r="C305" s="574" t="s">
        <v>319</v>
      </c>
      <c r="P305" s="269"/>
      <c r="Q305" s="257"/>
      <c r="R305" s="262"/>
      <c r="S305" s="262"/>
      <c r="T305" s="262"/>
      <c r="Y305" s="277"/>
      <c r="Z305" s="625"/>
    </row>
    <row r="306" spans="2:26" s="272" customFormat="1" x14ac:dyDescent="0.25">
      <c r="B306" s="573" t="s">
        <v>514</v>
      </c>
      <c r="C306" s="574"/>
      <c r="P306" s="269"/>
      <c r="Q306" s="257"/>
      <c r="R306" s="262"/>
      <c r="S306" s="262"/>
      <c r="T306" s="262"/>
      <c r="Y306" s="277"/>
      <c r="Z306" s="625"/>
    </row>
    <row r="307" spans="2:26" s="272" customFormat="1" x14ac:dyDescent="0.25">
      <c r="B307" s="573" t="s">
        <v>520</v>
      </c>
      <c r="C307" s="574" t="s">
        <v>505</v>
      </c>
      <c r="P307" s="269"/>
      <c r="Q307" s="257"/>
      <c r="R307" s="262"/>
      <c r="S307" s="262"/>
      <c r="T307" s="262"/>
      <c r="Y307" s="277"/>
      <c r="Z307" s="625"/>
    </row>
    <row r="308" spans="2:26" s="272" customFormat="1" x14ac:dyDescent="0.25">
      <c r="B308" s="626" t="s">
        <v>521</v>
      </c>
      <c r="C308" s="627" t="s">
        <v>313</v>
      </c>
      <c r="D308" s="628"/>
      <c r="E308" s="628"/>
      <c r="F308" s="628"/>
      <c r="G308" s="628"/>
      <c r="H308" s="628"/>
      <c r="I308" s="628"/>
      <c r="J308" s="628"/>
      <c r="K308" s="628"/>
      <c r="L308" s="628"/>
      <c r="M308" s="628"/>
      <c r="N308" s="628"/>
      <c r="O308" s="628"/>
      <c r="P308" s="269"/>
      <c r="Q308" s="257"/>
      <c r="R308" s="262"/>
      <c r="S308" s="262"/>
      <c r="T308" s="262"/>
      <c r="Y308" s="277"/>
      <c r="Z308" s="625"/>
    </row>
    <row r="309" spans="2:26" x14ac:dyDescent="0.25">
      <c r="B309" s="301" t="s">
        <v>522</v>
      </c>
      <c r="C309" s="311" t="s">
        <v>507</v>
      </c>
      <c r="Q309" s="257"/>
      <c r="R309" s="257"/>
      <c r="S309" s="257"/>
      <c r="T309" s="257"/>
    </row>
    <row r="310" spans="2:26" x14ac:dyDescent="0.25">
      <c r="B310" s="301" t="s">
        <v>523</v>
      </c>
      <c r="C310" s="311" t="s">
        <v>524</v>
      </c>
      <c r="Q310" s="257"/>
      <c r="R310" s="257"/>
      <c r="S310" s="257"/>
      <c r="T310" s="257"/>
    </row>
    <row r="311" spans="2:26" x14ac:dyDescent="0.25">
      <c r="B311" s="301" t="s">
        <v>238</v>
      </c>
      <c r="C311" s="258" t="s">
        <v>488</v>
      </c>
      <c r="D311" s="258" t="s">
        <v>489</v>
      </c>
      <c r="E311" s="258" t="s">
        <v>490</v>
      </c>
      <c r="F311" s="258" t="s">
        <v>491</v>
      </c>
      <c r="G311" s="258" t="s">
        <v>492</v>
      </c>
      <c r="H311" s="258" t="s">
        <v>449</v>
      </c>
      <c r="I311" s="258" t="s">
        <v>493</v>
      </c>
      <c r="J311" s="258" t="s">
        <v>494</v>
      </c>
      <c r="K311" s="258" t="s">
        <v>495</v>
      </c>
      <c r="L311" s="258" t="s">
        <v>496</v>
      </c>
      <c r="M311" s="258" t="s">
        <v>497</v>
      </c>
      <c r="N311" s="258" t="s">
        <v>498</v>
      </c>
      <c r="O311" s="258" t="s">
        <v>510</v>
      </c>
      <c r="Q311" s="257"/>
      <c r="R311" s="257"/>
      <c r="S311" s="257"/>
      <c r="T311" s="257"/>
    </row>
    <row r="312" spans="2:26" x14ac:dyDescent="0.25">
      <c r="B312" s="381">
        <v>1997</v>
      </c>
      <c r="C312" s="634">
        <v>143</v>
      </c>
      <c r="D312" s="634">
        <v>142.9</v>
      </c>
      <c r="E312" s="634">
        <v>142.9</v>
      </c>
      <c r="F312" s="634">
        <v>142.6</v>
      </c>
      <c r="G312" s="634">
        <v>142.1</v>
      </c>
      <c r="H312" s="634">
        <v>141.69999999999999</v>
      </c>
      <c r="I312" s="634">
        <v>141.1</v>
      </c>
      <c r="J312" s="634">
        <v>140.4</v>
      </c>
      <c r="K312" s="634">
        <v>140</v>
      </c>
      <c r="L312" s="634">
        <v>140.6</v>
      </c>
      <c r="M312" s="634">
        <v>141.30000000000001</v>
      </c>
      <c r="N312" s="634">
        <v>141.5</v>
      </c>
      <c r="O312" s="608">
        <f>AVERAGE(C312:N312)</f>
        <v>141.67499999999998</v>
      </c>
      <c r="Q312" s="257"/>
      <c r="R312" s="257"/>
      <c r="S312" s="257"/>
      <c r="T312" s="257"/>
    </row>
    <row r="313" spans="2:26" x14ac:dyDescent="0.25">
      <c r="B313" s="381">
        <v>1998</v>
      </c>
      <c r="C313" s="634">
        <v>141.80000000000001</v>
      </c>
      <c r="D313" s="634">
        <v>141.69999999999999</v>
      </c>
      <c r="E313" s="634">
        <v>141.69999999999999</v>
      </c>
      <c r="F313" s="634">
        <v>141.5</v>
      </c>
      <c r="G313" s="634">
        <v>140.6</v>
      </c>
      <c r="H313" s="634">
        <v>140</v>
      </c>
      <c r="I313" s="634">
        <v>140.1</v>
      </c>
      <c r="J313" s="634">
        <v>140</v>
      </c>
      <c r="K313" s="634">
        <v>139.4</v>
      </c>
      <c r="L313" s="634">
        <v>139.69999999999999</v>
      </c>
      <c r="M313" s="634">
        <v>140.6</v>
      </c>
      <c r="N313" s="634">
        <v>141.30000000000001</v>
      </c>
      <c r="O313" s="608">
        <f t="shared" ref="O313:O333" si="17">AVERAGE(C313:N313)</f>
        <v>140.70000000000002</v>
      </c>
      <c r="Q313" s="257"/>
      <c r="R313" s="257"/>
      <c r="S313" s="257"/>
      <c r="T313" s="257"/>
    </row>
    <row r="314" spans="2:26" x14ac:dyDescent="0.25">
      <c r="B314" s="381">
        <v>1999</v>
      </c>
      <c r="C314" s="634">
        <v>141.4</v>
      </c>
      <c r="D314" s="634">
        <v>140.80000000000001</v>
      </c>
      <c r="E314" s="634">
        <v>140.30000000000001</v>
      </c>
      <c r="F314" s="634">
        <v>140.1</v>
      </c>
      <c r="G314" s="634">
        <v>139.6</v>
      </c>
      <c r="H314" s="634">
        <v>139.1</v>
      </c>
      <c r="I314" s="634">
        <v>138.6</v>
      </c>
      <c r="J314" s="634">
        <v>138</v>
      </c>
      <c r="K314" s="634">
        <v>138.19999999999999</v>
      </c>
      <c r="L314" s="634">
        <v>138.80000000000001</v>
      </c>
      <c r="M314" s="634">
        <v>139.6</v>
      </c>
      <c r="N314" s="634">
        <v>140.1</v>
      </c>
      <c r="O314" s="608">
        <f t="shared" si="17"/>
        <v>139.54999999999998</v>
      </c>
      <c r="Q314" s="257"/>
      <c r="R314" s="257"/>
      <c r="S314" s="257"/>
      <c r="T314" s="257"/>
    </row>
    <row r="315" spans="2:26" x14ac:dyDescent="0.25">
      <c r="B315" s="381">
        <v>2000</v>
      </c>
      <c r="C315" s="634">
        <v>140</v>
      </c>
      <c r="D315" s="634">
        <v>139.80000000000001</v>
      </c>
      <c r="E315" s="634">
        <v>140</v>
      </c>
      <c r="F315" s="634">
        <v>140.19999999999999</v>
      </c>
      <c r="G315" s="634">
        <v>140</v>
      </c>
      <c r="H315" s="634">
        <v>139.6</v>
      </c>
      <c r="I315" s="634">
        <v>139.30000000000001</v>
      </c>
      <c r="J315" s="634">
        <v>138.69999999999999</v>
      </c>
      <c r="K315" s="634">
        <v>138.30000000000001</v>
      </c>
      <c r="L315" s="634">
        <v>138.6</v>
      </c>
      <c r="M315" s="634">
        <v>139.6</v>
      </c>
      <c r="N315" s="634">
        <v>140.5</v>
      </c>
      <c r="O315" s="608">
        <f t="shared" si="17"/>
        <v>139.54999999999998</v>
      </c>
      <c r="Q315" s="257"/>
      <c r="R315" s="257"/>
      <c r="S315" s="257"/>
      <c r="T315" s="257"/>
    </row>
    <row r="316" spans="2:26" x14ac:dyDescent="0.25">
      <c r="B316" s="381">
        <v>2001</v>
      </c>
      <c r="C316" s="634">
        <v>140.4</v>
      </c>
      <c r="D316" s="634">
        <v>139.9</v>
      </c>
      <c r="E316" s="634">
        <v>139.5</v>
      </c>
      <c r="F316" s="634">
        <v>139.6</v>
      </c>
      <c r="G316" s="634">
        <v>139.19999999999999</v>
      </c>
      <c r="H316" s="634">
        <v>138.5</v>
      </c>
      <c r="I316" s="634">
        <v>138.1</v>
      </c>
      <c r="J316" s="634">
        <v>137.19999999999999</v>
      </c>
      <c r="K316" s="634">
        <v>137.1</v>
      </c>
      <c r="L316" s="634">
        <v>137.69999999999999</v>
      </c>
      <c r="M316" s="634">
        <v>139.4</v>
      </c>
      <c r="N316" s="634">
        <v>140.5</v>
      </c>
      <c r="O316" s="608">
        <f t="shared" si="17"/>
        <v>138.92499999999998</v>
      </c>
      <c r="Q316" s="257"/>
      <c r="R316" s="257"/>
      <c r="S316" s="257"/>
      <c r="T316" s="257"/>
    </row>
    <row r="317" spans="2:26" x14ac:dyDescent="0.25">
      <c r="B317" s="381">
        <v>2002</v>
      </c>
      <c r="C317" s="634">
        <v>139.69999999999999</v>
      </c>
      <c r="D317" s="634">
        <v>138.6</v>
      </c>
      <c r="E317" s="634">
        <v>138.19999999999999</v>
      </c>
      <c r="F317" s="634">
        <v>137.80000000000001</v>
      </c>
      <c r="G317" s="634">
        <v>137.19999999999999</v>
      </c>
      <c r="H317" s="634">
        <v>136.6</v>
      </c>
      <c r="I317" s="634">
        <v>136.1</v>
      </c>
      <c r="J317" s="634">
        <v>135.4</v>
      </c>
      <c r="K317" s="634">
        <v>135.80000000000001</v>
      </c>
      <c r="L317" s="634">
        <v>136.69999999999999</v>
      </c>
      <c r="M317" s="634">
        <v>137.6</v>
      </c>
      <c r="N317" s="634">
        <v>137.69999999999999</v>
      </c>
      <c r="O317" s="608">
        <f t="shared" si="17"/>
        <v>137.28333333333333</v>
      </c>
      <c r="Q317" s="257"/>
      <c r="R317" s="257"/>
      <c r="S317" s="257"/>
      <c r="T317" s="257"/>
    </row>
    <row r="318" spans="2:26" x14ac:dyDescent="0.25">
      <c r="B318" s="381">
        <v>2003</v>
      </c>
      <c r="C318" s="634">
        <v>136.69999999999999</v>
      </c>
      <c r="D318" s="634">
        <v>136</v>
      </c>
      <c r="E318" s="634">
        <v>136.1</v>
      </c>
      <c r="F318" s="634">
        <v>135.5</v>
      </c>
      <c r="G318" s="634">
        <v>134.9</v>
      </c>
      <c r="H318" s="634">
        <v>134.19999999999999</v>
      </c>
      <c r="I318" s="634">
        <v>133.5</v>
      </c>
      <c r="J318" s="634">
        <v>133.6</v>
      </c>
      <c r="K318" s="634">
        <v>133.1</v>
      </c>
      <c r="L318" s="634">
        <v>133.5</v>
      </c>
      <c r="M318" s="634">
        <v>134.30000000000001</v>
      </c>
      <c r="N318" s="634">
        <v>134.80000000000001</v>
      </c>
      <c r="O318" s="608">
        <f t="shared" si="17"/>
        <v>134.68333333333331</v>
      </c>
      <c r="Q318" s="257"/>
      <c r="R318" s="257"/>
      <c r="S318" s="257"/>
      <c r="T318" s="257"/>
    </row>
    <row r="319" spans="2:26" x14ac:dyDescent="0.25">
      <c r="B319" s="381">
        <v>2004</v>
      </c>
      <c r="C319" s="600">
        <v>134.69999999999999</v>
      </c>
      <c r="D319" s="600">
        <v>134.80000000000001</v>
      </c>
      <c r="E319" s="600">
        <v>134.6</v>
      </c>
      <c r="F319" s="600">
        <v>134.30000000000001</v>
      </c>
      <c r="G319" s="600">
        <v>134.4</v>
      </c>
      <c r="H319" s="600">
        <v>134.19999999999999</v>
      </c>
      <c r="I319" s="600">
        <v>133</v>
      </c>
      <c r="J319" s="600">
        <v>132</v>
      </c>
      <c r="K319" s="600">
        <v>131.9</v>
      </c>
      <c r="L319" s="600">
        <v>133</v>
      </c>
      <c r="M319" s="600">
        <v>134.9</v>
      </c>
      <c r="N319" s="600">
        <v>135.5</v>
      </c>
      <c r="O319" s="608">
        <f t="shared" si="17"/>
        <v>133.94166666666669</v>
      </c>
      <c r="Q319" s="257"/>
      <c r="R319" s="257"/>
      <c r="S319" s="257"/>
      <c r="T319" s="257"/>
    </row>
    <row r="320" spans="2:26" x14ac:dyDescent="0.25">
      <c r="B320" s="381">
        <v>2005</v>
      </c>
      <c r="C320" s="600">
        <v>136.4</v>
      </c>
      <c r="D320" s="600">
        <v>136.4</v>
      </c>
      <c r="E320" s="600">
        <v>135.69999999999999</v>
      </c>
      <c r="F320" s="600">
        <v>135.6</v>
      </c>
      <c r="G320" s="600">
        <v>135.5</v>
      </c>
      <c r="H320" s="600">
        <v>135.1</v>
      </c>
      <c r="I320" s="600">
        <v>133.9</v>
      </c>
      <c r="J320" s="600">
        <v>132.69999999999999</v>
      </c>
      <c r="K320" s="600">
        <v>133.6</v>
      </c>
      <c r="L320" s="600">
        <v>135.1</v>
      </c>
      <c r="M320" s="600">
        <v>136.1</v>
      </c>
      <c r="N320" s="600">
        <v>136.6</v>
      </c>
      <c r="O320" s="608">
        <f t="shared" si="17"/>
        <v>135.22499999999997</v>
      </c>
      <c r="Q320" s="257"/>
      <c r="R320" s="257"/>
      <c r="S320" s="257"/>
      <c r="T320" s="257"/>
    </row>
    <row r="321" spans="2:20" x14ac:dyDescent="0.25">
      <c r="B321" s="381">
        <v>2006</v>
      </c>
      <c r="C321" s="600">
        <v>137.69999999999999</v>
      </c>
      <c r="D321" s="600">
        <v>137.5</v>
      </c>
      <c r="E321" s="600">
        <v>136.9</v>
      </c>
      <c r="F321" s="600">
        <v>136.5</v>
      </c>
      <c r="G321" s="600">
        <v>136.19999999999999</v>
      </c>
      <c r="H321" s="600">
        <v>135.80000000000001</v>
      </c>
      <c r="I321" s="600">
        <v>135.6</v>
      </c>
      <c r="J321" s="600">
        <v>135.4</v>
      </c>
      <c r="K321" s="600">
        <v>135.69999999999999</v>
      </c>
      <c r="L321" s="600">
        <v>136.30000000000001</v>
      </c>
      <c r="M321" s="600">
        <v>136.6</v>
      </c>
      <c r="N321" s="600">
        <v>136.9</v>
      </c>
      <c r="O321" s="608">
        <f t="shared" si="17"/>
        <v>136.42499999999998</v>
      </c>
      <c r="Q321" s="257"/>
      <c r="R321" s="257"/>
      <c r="S321" s="257"/>
      <c r="T321" s="257"/>
    </row>
    <row r="322" spans="2:20" x14ac:dyDescent="0.25">
      <c r="B322" s="381">
        <v>2007</v>
      </c>
      <c r="C322" s="600">
        <v>137.20400000000001</v>
      </c>
      <c r="D322" s="600">
        <v>136.84399999999999</v>
      </c>
      <c r="E322" s="600">
        <v>136.589</v>
      </c>
      <c r="F322" s="600">
        <v>136.4</v>
      </c>
      <c r="G322" s="600">
        <v>135.78700000000001</v>
      </c>
      <c r="H322" s="600">
        <v>135.47900000000001</v>
      </c>
      <c r="I322" s="600">
        <v>135.00899999999999</v>
      </c>
      <c r="J322" s="600">
        <v>134.88800000000001</v>
      </c>
      <c r="K322" s="600">
        <v>134.637</v>
      </c>
      <c r="L322" s="600">
        <v>135.16900000000001</v>
      </c>
      <c r="M322" s="600">
        <v>136.00299999999999</v>
      </c>
      <c r="N322" s="600">
        <v>136.37100000000001</v>
      </c>
      <c r="O322" s="608">
        <f t="shared" si="17"/>
        <v>135.86500000000001</v>
      </c>
      <c r="Q322" s="257"/>
      <c r="R322" s="257"/>
      <c r="S322" s="257"/>
      <c r="T322" s="257"/>
    </row>
    <row r="323" spans="2:20" x14ac:dyDescent="0.25">
      <c r="B323" s="381">
        <v>2008</v>
      </c>
      <c r="C323" s="600">
        <v>136.363</v>
      </c>
      <c r="D323" s="600">
        <v>136.00899999999999</v>
      </c>
      <c r="E323" s="600">
        <v>135.64500000000001</v>
      </c>
      <c r="F323" s="600">
        <v>135.32900000000001</v>
      </c>
      <c r="G323" s="600">
        <v>135.14400000000001</v>
      </c>
      <c r="H323" s="600">
        <v>135.23500000000001</v>
      </c>
      <c r="I323" s="600">
        <v>135.80000000000001</v>
      </c>
      <c r="J323" s="600">
        <v>135.48099999999999</v>
      </c>
      <c r="K323" s="600">
        <v>134.994</v>
      </c>
      <c r="L323" s="600">
        <v>134.83699999999999</v>
      </c>
      <c r="M323" s="600">
        <v>135.041</v>
      </c>
      <c r="N323" s="600">
        <v>134.93</v>
      </c>
      <c r="O323" s="608">
        <f t="shared" si="17"/>
        <v>135.40066666666667</v>
      </c>
      <c r="Q323" s="257"/>
      <c r="R323" s="257"/>
      <c r="S323" s="257"/>
      <c r="T323" s="257"/>
    </row>
    <row r="324" spans="2:20" x14ac:dyDescent="0.25">
      <c r="B324" s="381">
        <v>2009</v>
      </c>
      <c r="C324" s="600">
        <v>135.637</v>
      </c>
      <c r="D324" s="600">
        <v>135.98400000000001</v>
      </c>
      <c r="E324" s="600">
        <v>135.947</v>
      </c>
      <c r="F324" s="600">
        <v>136.03700000000001</v>
      </c>
      <c r="G324" s="600">
        <v>136.172</v>
      </c>
      <c r="H324" s="600">
        <v>136.48599999999999</v>
      </c>
      <c r="I324" s="600">
        <v>136.84399999999999</v>
      </c>
      <c r="J324" s="600">
        <v>134.666</v>
      </c>
      <c r="K324" s="600">
        <v>135.041</v>
      </c>
      <c r="L324" s="600">
        <v>137.851</v>
      </c>
      <c r="M324" s="600">
        <v>139.821</v>
      </c>
      <c r="N324" s="600">
        <v>139.72800000000001</v>
      </c>
      <c r="O324" s="608">
        <f t="shared" si="17"/>
        <v>136.68449999999999</v>
      </c>
      <c r="Q324" s="257"/>
      <c r="R324" s="257"/>
      <c r="S324" s="257"/>
      <c r="T324" s="257"/>
    </row>
    <row r="325" spans="2:20" x14ac:dyDescent="0.25">
      <c r="B325" s="381">
        <v>2010</v>
      </c>
      <c r="C325" s="600">
        <v>139.29</v>
      </c>
      <c r="D325" s="600">
        <v>139.19800000000001</v>
      </c>
      <c r="E325" s="600">
        <v>138.71199999999999</v>
      </c>
      <c r="F325" s="600">
        <v>138.16999999999999</v>
      </c>
      <c r="G325" s="600">
        <v>137.89599999999999</v>
      </c>
      <c r="H325" s="600">
        <v>137.75899999999999</v>
      </c>
      <c r="I325" s="600">
        <v>137.46199999999999</v>
      </c>
      <c r="J325" s="600">
        <v>137.18</v>
      </c>
      <c r="K325" s="600">
        <v>137.423</v>
      </c>
      <c r="L325" s="600">
        <v>137.88</v>
      </c>
      <c r="M325" s="600">
        <v>138.01499999999999</v>
      </c>
      <c r="N325" s="600">
        <v>138.14699999999999</v>
      </c>
      <c r="O325" s="608">
        <f t="shared" si="17"/>
        <v>138.09433333333331</v>
      </c>
      <c r="Q325" s="257"/>
      <c r="R325" s="257"/>
      <c r="S325" s="257"/>
      <c r="T325" s="257"/>
    </row>
    <row r="326" spans="2:20" x14ac:dyDescent="0.25">
      <c r="B326" s="381">
        <v>2011</v>
      </c>
      <c r="C326" s="600">
        <v>138.203</v>
      </c>
      <c r="D326" s="600">
        <v>139.584</v>
      </c>
      <c r="E326" s="600">
        <v>140.31100000000001</v>
      </c>
      <c r="F326" s="600">
        <v>141.154</v>
      </c>
      <c r="G326" s="600">
        <v>142.71700000000001</v>
      </c>
      <c r="H326" s="600">
        <v>143.81200000000001</v>
      </c>
      <c r="I326" s="600">
        <v>143.70699999999999</v>
      </c>
      <c r="J326" s="600">
        <v>143.28299999999999</v>
      </c>
      <c r="K326" s="600">
        <v>143.41399999999999</v>
      </c>
      <c r="L326" s="600">
        <v>143.41900000000001</v>
      </c>
      <c r="M326" s="600">
        <v>143.489</v>
      </c>
      <c r="N326" s="600">
        <v>143.619</v>
      </c>
      <c r="O326" s="608">
        <f t="shared" si="17"/>
        <v>142.226</v>
      </c>
      <c r="Q326" s="257"/>
      <c r="R326" s="257"/>
      <c r="S326" s="257"/>
      <c r="T326" s="257"/>
    </row>
    <row r="327" spans="2:20" x14ac:dyDescent="0.25">
      <c r="B327" s="381">
        <v>2012</v>
      </c>
      <c r="C327" s="600">
        <v>143.69800000000001</v>
      </c>
      <c r="D327" s="600">
        <v>144.273</v>
      </c>
      <c r="E327" s="600">
        <v>144.10300000000001</v>
      </c>
      <c r="F327" s="600">
        <v>144.404</v>
      </c>
      <c r="G327" s="600">
        <v>144.477</v>
      </c>
      <c r="H327" s="600">
        <v>144.36500000000001</v>
      </c>
      <c r="I327" s="600">
        <v>143.92400000000001</v>
      </c>
      <c r="J327" s="600">
        <v>143.70400000000001</v>
      </c>
      <c r="K327" s="600">
        <v>143.535</v>
      </c>
      <c r="L327" s="600">
        <v>143.78700000000001</v>
      </c>
      <c r="M327" s="600">
        <v>144.70099999999999</v>
      </c>
      <c r="N327" s="600">
        <v>145.16300000000001</v>
      </c>
      <c r="O327" s="608">
        <f t="shared" si="17"/>
        <v>144.17783333333335</v>
      </c>
      <c r="Q327" s="257"/>
      <c r="R327" s="257"/>
      <c r="S327" s="257"/>
      <c r="T327" s="257"/>
    </row>
    <row r="328" spans="2:20" x14ac:dyDescent="0.25">
      <c r="B328" s="381">
        <v>2013</v>
      </c>
      <c r="C328" s="600">
        <v>145.71199999999999</v>
      </c>
      <c r="D328" s="600">
        <v>145.68799999999999</v>
      </c>
      <c r="E328" s="600">
        <v>145.59200000000001</v>
      </c>
      <c r="F328" s="600">
        <v>145.673</v>
      </c>
      <c r="G328" s="600">
        <v>145.334</v>
      </c>
      <c r="H328" s="600">
        <v>145.05699999999999</v>
      </c>
      <c r="I328" s="600">
        <v>144.69200000000001</v>
      </c>
      <c r="J328" s="600">
        <v>144.34200000000001</v>
      </c>
      <c r="K328" s="600">
        <v>144.22999999999999</v>
      </c>
      <c r="L328" s="600">
        <v>144.16900000000001</v>
      </c>
      <c r="M328" s="600">
        <v>144.232</v>
      </c>
      <c r="N328" s="600">
        <v>144.36000000000001</v>
      </c>
      <c r="O328" s="608">
        <f t="shared" si="17"/>
        <v>144.92341666666667</v>
      </c>
      <c r="Q328" s="257"/>
      <c r="R328" s="257"/>
      <c r="S328" s="257"/>
      <c r="T328" s="257"/>
    </row>
    <row r="329" spans="2:20" x14ac:dyDescent="0.25">
      <c r="B329" s="381">
        <v>2014</v>
      </c>
      <c r="C329" s="269">
        <v>144.55600000000001</v>
      </c>
      <c r="D329" s="269">
        <v>144.98099999999999</v>
      </c>
      <c r="E329" s="269">
        <v>144.81200000000001</v>
      </c>
      <c r="F329" s="269">
        <v>145.03899999999999</v>
      </c>
      <c r="G329" s="269">
        <v>145.078</v>
      </c>
      <c r="H329" s="269">
        <v>144.53700000000001</v>
      </c>
      <c r="I329" s="269">
        <v>144.36600000000001</v>
      </c>
      <c r="J329" s="269">
        <v>143.77199999999999</v>
      </c>
      <c r="K329" s="269">
        <v>143.708</v>
      </c>
      <c r="L329" s="269">
        <v>144.131</v>
      </c>
      <c r="M329" s="269">
        <v>144.374</v>
      </c>
      <c r="N329" s="269">
        <v>144.274</v>
      </c>
      <c r="O329" s="608">
        <f t="shared" si="17"/>
        <v>144.46900000000002</v>
      </c>
      <c r="Q329" s="257"/>
      <c r="R329" s="257"/>
      <c r="S329" s="257"/>
      <c r="T329" s="257"/>
    </row>
    <row r="330" spans="2:20" x14ac:dyDescent="0.25">
      <c r="B330" s="381">
        <v>2015</v>
      </c>
      <c r="C330" s="269">
        <v>144.31899999999999</v>
      </c>
      <c r="D330" s="269">
        <v>145.066</v>
      </c>
      <c r="E330" s="269">
        <v>145.232</v>
      </c>
      <c r="F330" s="269">
        <v>145.215</v>
      </c>
      <c r="G330" s="269">
        <v>145.19</v>
      </c>
      <c r="H330" s="269">
        <v>145.25299999999999</v>
      </c>
      <c r="I330" s="269">
        <v>144.375</v>
      </c>
      <c r="J330" s="269">
        <v>143.905</v>
      </c>
      <c r="K330" s="269">
        <v>143.58099999999999</v>
      </c>
      <c r="L330" s="269">
        <v>143.51599999999999</v>
      </c>
      <c r="M330" s="269">
        <v>143.45599999999999</v>
      </c>
      <c r="N330" s="269">
        <v>143.63800000000001</v>
      </c>
      <c r="O330" s="608">
        <f t="shared" si="17"/>
        <v>144.39549999999997</v>
      </c>
      <c r="Q330" s="257"/>
      <c r="R330" s="257"/>
      <c r="S330" s="257"/>
      <c r="T330" s="257"/>
    </row>
    <row r="331" spans="2:20" x14ac:dyDescent="0.2">
      <c r="B331" s="381">
        <v>2016</v>
      </c>
      <c r="C331" s="346">
        <v>144.279</v>
      </c>
      <c r="D331" s="269">
        <v>145.09399999999999</v>
      </c>
      <c r="E331" s="269">
        <v>144.78</v>
      </c>
      <c r="F331" s="269">
        <v>144.33799999999999</v>
      </c>
      <c r="G331" s="269">
        <v>144.07400000000001</v>
      </c>
      <c r="H331" s="269">
        <v>143.46199999999999</v>
      </c>
      <c r="I331" s="269">
        <v>143.23699999999999</v>
      </c>
      <c r="J331" s="269">
        <v>142.827</v>
      </c>
      <c r="K331" s="269">
        <v>142.63</v>
      </c>
      <c r="L331" s="269">
        <v>143.03200000000001</v>
      </c>
      <c r="M331" s="269">
        <v>143.18299999999999</v>
      </c>
      <c r="N331" s="269">
        <v>143.34700000000001</v>
      </c>
      <c r="O331" s="608">
        <f t="shared" si="17"/>
        <v>143.69024999999999</v>
      </c>
      <c r="Q331" s="257"/>
      <c r="R331" s="257"/>
      <c r="S331" s="257"/>
      <c r="T331" s="257"/>
    </row>
    <row r="332" spans="2:20" x14ac:dyDescent="0.2">
      <c r="B332" s="381">
        <v>2017</v>
      </c>
      <c r="C332" s="346">
        <v>145.02199999999999</v>
      </c>
      <c r="D332" s="269">
        <v>145.21199999999999</v>
      </c>
      <c r="E332" s="269">
        <v>144.589</v>
      </c>
      <c r="F332" s="269">
        <v>144.45699999999999</v>
      </c>
      <c r="G332" s="269">
        <v>143.90799999999999</v>
      </c>
      <c r="H332" s="269">
        <v>143.084</v>
      </c>
      <c r="I332" s="269">
        <v>141.68700000000001</v>
      </c>
      <c r="J332" s="269">
        <v>141.066</v>
      </c>
      <c r="K332" s="269">
        <v>140.238</v>
      </c>
      <c r="L332" s="269">
        <v>140.024</v>
      </c>
      <c r="M332" s="269">
        <v>140.785</v>
      </c>
      <c r="N332" s="269">
        <v>141.83699999999999</v>
      </c>
      <c r="O332" s="608">
        <f t="shared" si="17"/>
        <v>142.65908333333331</v>
      </c>
      <c r="Q332" s="257"/>
      <c r="R332" s="257"/>
      <c r="S332" s="257"/>
      <c r="T332" s="257"/>
    </row>
    <row r="333" spans="2:20" x14ac:dyDescent="0.2">
      <c r="B333" s="381">
        <v>2018</v>
      </c>
      <c r="C333" s="346">
        <v>142.39500000000001</v>
      </c>
      <c r="D333" s="269">
        <v>142.16</v>
      </c>
      <c r="E333" s="269">
        <v>142.036</v>
      </c>
      <c r="F333" s="269">
        <v>141.465</v>
      </c>
      <c r="G333" s="269">
        <v>141.929</v>
      </c>
      <c r="H333" s="269">
        <v>142.14500000000001</v>
      </c>
      <c r="I333" s="269">
        <v>142.21600000000001</v>
      </c>
      <c r="J333" s="269">
        <v>141.84100000000001</v>
      </c>
      <c r="K333" s="269">
        <v>141.75</v>
      </c>
      <c r="L333" s="269">
        <v>141.642</v>
      </c>
      <c r="M333" s="269">
        <v>141.91200000000001</v>
      </c>
      <c r="O333" s="608">
        <f t="shared" si="17"/>
        <v>141.95372727272726</v>
      </c>
      <c r="Q333" s="257"/>
      <c r="R333" s="257"/>
      <c r="S333" s="257"/>
      <c r="T333" s="257"/>
    </row>
    <row r="334" spans="2:20" x14ac:dyDescent="0.25">
      <c r="B334" s="269"/>
      <c r="Q334" s="257"/>
      <c r="R334" s="257"/>
      <c r="S334" s="257"/>
      <c r="T334" s="257"/>
    </row>
    <row r="335" spans="2:20" x14ac:dyDescent="0.25">
      <c r="B335" s="635" t="s">
        <v>109</v>
      </c>
      <c r="Q335" s="257"/>
      <c r="R335" s="257"/>
      <c r="S335" s="257"/>
      <c r="T335" s="257"/>
    </row>
  </sheetData>
  <hyperlinks>
    <hyperlink ref="B61" r:id="rId1"/>
    <hyperlink ref="B52" r:id="rId2" location="reqid=9&amp;step=1&amp;isuri=1"/>
    <hyperlink ref="B183" r:id="rId3"/>
    <hyperlink ref="B10" r:id="rId4"/>
    <hyperlink ref="B7" r:id="rId5"/>
    <hyperlink ref="B19" r:id="rId6"/>
    <hyperlink ref="B112" r:id="rId7"/>
  </hyperlinks>
  <pageMargins left="0.7" right="0.7" top="0.75" bottom="0.75" header="0.3" footer="0.3"/>
  <drawing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L44"/>
  <sheetViews>
    <sheetView showGridLines="0" workbookViewId="0"/>
  </sheetViews>
  <sheetFormatPr defaultRowHeight="14.4" x14ac:dyDescent="0.25"/>
  <cols>
    <col min="1" max="1" width="1.33203125" customWidth="1"/>
    <col min="3" max="3" width="26.88671875" customWidth="1"/>
  </cols>
  <sheetData>
    <row r="1" spans="2:12" ht="10.5" customHeight="1" x14ac:dyDescent="0.25"/>
    <row r="2" spans="2:12" ht="17.7" x14ac:dyDescent="0.3">
      <c r="B2" s="641" t="s">
        <v>678</v>
      </c>
    </row>
    <row r="3" spans="2:12" ht="8.1999999999999993" customHeight="1" x14ac:dyDescent="0.3">
      <c r="B3" s="641"/>
    </row>
    <row r="4" spans="2:12" x14ac:dyDescent="0.25">
      <c r="B4" s="640" t="s">
        <v>238</v>
      </c>
      <c r="C4" s="678" t="s">
        <v>679</v>
      </c>
    </row>
    <row r="5" spans="2:12" x14ac:dyDescent="0.25">
      <c r="B5" s="4">
        <v>2017</v>
      </c>
      <c r="C5">
        <f>AVERAGE(D17:G17)</f>
        <v>107.944</v>
      </c>
      <c r="F5" t="s">
        <v>800</v>
      </c>
      <c r="I5" s="747">
        <f>C6/C5</f>
        <v>1.0225348328763062</v>
      </c>
    </row>
    <row r="6" spans="2:12" x14ac:dyDescent="0.25">
      <c r="B6" s="4">
        <v>2018</v>
      </c>
      <c r="C6">
        <f>AVERAGE(H17:K17)</f>
        <v>110.37650000000001</v>
      </c>
      <c r="F6" t="s">
        <v>680</v>
      </c>
      <c r="I6" s="747">
        <f>C7/C5</f>
        <v>1.0313217964870673</v>
      </c>
    </row>
    <row r="7" spans="2:12" x14ac:dyDescent="0.25">
      <c r="B7" s="4">
        <v>2019</v>
      </c>
      <c r="C7" s="880">
        <f>L17</f>
        <v>111.325</v>
      </c>
    </row>
    <row r="10" spans="2:12" ht="17.7" x14ac:dyDescent="0.3">
      <c r="B10" s="1282" t="s">
        <v>620</v>
      </c>
      <c r="C10" s="1283"/>
      <c r="D10" s="1283"/>
      <c r="E10" s="1283"/>
      <c r="F10" s="1283"/>
      <c r="G10" s="1283"/>
      <c r="H10" s="1283"/>
      <c r="I10" s="1283"/>
      <c r="J10" s="1283"/>
      <c r="K10" s="1283"/>
      <c r="L10" s="1283"/>
    </row>
    <row r="11" spans="2:12" ht="16.399999999999999" x14ac:dyDescent="0.25">
      <c r="B11" s="1284" t="s">
        <v>621</v>
      </c>
      <c r="C11" s="1283"/>
      <c r="D11" s="1283"/>
      <c r="E11" s="1283"/>
      <c r="F11" s="1283"/>
      <c r="G11" s="1283"/>
      <c r="H11" s="1283"/>
      <c r="I11" s="1283"/>
      <c r="J11" s="1283"/>
      <c r="K11" s="1283"/>
      <c r="L11" s="1283"/>
    </row>
    <row r="12" spans="2:12" x14ac:dyDescent="0.25">
      <c r="B12" s="1283" t="s">
        <v>622</v>
      </c>
      <c r="C12" s="1283"/>
      <c r="D12" s="1283"/>
      <c r="E12" s="1283"/>
      <c r="F12" s="1283"/>
      <c r="G12" s="1283"/>
      <c r="H12" s="1283"/>
      <c r="I12" s="1283"/>
      <c r="J12" s="1283"/>
      <c r="K12" s="1283"/>
      <c r="L12" s="1283"/>
    </row>
    <row r="13" spans="2:12" x14ac:dyDescent="0.25">
      <c r="B13" s="1283" t="s">
        <v>623</v>
      </c>
      <c r="C13" s="1283"/>
      <c r="D13" s="1283"/>
      <c r="E13" s="1283"/>
      <c r="F13" s="1283"/>
      <c r="G13" s="1283"/>
      <c r="H13" s="1283"/>
      <c r="I13" s="1283"/>
      <c r="J13" s="1283"/>
      <c r="K13" s="1283"/>
      <c r="L13" s="1283"/>
    </row>
    <row r="15" spans="2:12" x14ac:dyDescent="0.25">
      <c r="B15" s="1281" t="s">
        <v>624</v>
      </c>
      <c r="C15" s="1281" t="s">
        <v>483</v>
      </c>
      <c r="D15" s="1281" t="s">
        <v>625</v>
      </c>
      <c r="E15" s="1281"/>
      <c r="F15" s="1281"/>
      <c r="G15" s="1281"/>
      <c r="H15" s="1281" t="s">
        <v>626</v>
      </c>
      <c r="I15" s="1281"/>
      <c r="J15" s="1281"/>
      <c r="K15" s="1281"/>
      <c r="L15" s="1281" t="s">
        <v>627</v>
      </c>
    </row>
    <row r="16" spans="2:12" x14ac:dyDescent="0.25">
      <c r="B16" s="1281"/>
      <c r="C16" s="1281"/>
      <c r="D16" s="1281" t="s">
        <v>628</v>
      </c>
      <c r="E16" s="1281" t="s">
        <v>629</v>
      </c>
      <c r="F16" s="1281" t="s">
        <v>630</v>
      </c>
      <c r="G16" s="1281" t="s">
        <v>631</v>
      </c>
      <c r="H16" s="1281" t="s">
        <v>628</v>
      </c>
      <c r="I16" s="1281" t="s">
        <v>629</v>
      </c>
      <c r="J16" s="1281" t="s">
        <v>630</v>
      </c>
      <c r="K16" s="1281" t="s">
        <v>631</v>
      </c>
      <c r="L16" s="1281" t="s">
        <v>628</v>
      </c>
    </row>
    <row r="17" spans="2:12" x14ac:dyDescent="0.25">
      <c r="B17" s="745" t="s">
        <v>632</v>
      </c>
      <c r="C17" s="746" t="s">
        <v>633</v>
      </c>
      <c r="D17" s="745">
        <v>107.27500000000001</v>
      </c>
      <c r="E17" s="745">
        <v>107.58</v>
      </c>
      <c r="F17" s="745">
        <v>108.09699999999999</v>
      </c>
      <c r="G17" s="745">
        <v>108.824</v>
      </c>
      <c r="H17" s="745">
        <v>109.371</v>
      </c>
      <c r="I17" s="745">
        <v>110.26600000000001</v>
      </c>
      <c r="J17" s="745">
        <v>110.679</v>
      </c>
      <c r="K17" s="745">
        <v>111.19</v>
      </c>
      <c r="L17" s="745">
        <v>111.325</v>
      </c>
    </row>
    <row r="18" spans="2:12" x14ac:dyDescent="0.25">
      <c r="B18" s="745" t="s">
        <v>634</v>
      </c>
      <c r="C18" s="746" t="s">
        <v>458</v>
      </c>
      <c r="D18" s="745">
        <v>105.524</v>
      </c>
      <c r="E18" s="745">
        <v>105.73099999999999</v>
      </c>
      <c r="F18" s="745">
        <v>106.152</v>
      </c>
      <c r="G18" s="745">
        <v>106.869</v>
      </c>
      <c r="H18" s="745">
        <v>107.52</v>
      </c>
      <c r="I18" s="745">
        <v>108.04900000000001</v>
      </c>
      <c r="J18" s="745">
        <v>108.47</v>
      </c>
      <c r="K18" s="745">
        <v>108.871</v>
      </c>
      <c r="L18" s="745">
        <v>108.973</v>
      </c>
    </row>
    <row r="19" spans="2:12" x14ac:dyDescent="0.25">
      <c r="B19" s="745" t="s">
        <v>635</v>
      </c>
      <c r="C19" s="745" t="s">
        <v>474</v>
      </c>
      <c r="D19" s="745">
        <v>94.963999999999999</v>
      </c>
      <c r="E19" s="745">
        <v>94.298000000000002</v>
      </c>
      <c r="F19" s="745">
        <v>94.462999999999994</v>
      </c>
      <c r="G19" s="745">
        <v>94.804000000000002</v>
      </c>
      <c r="H19" s="745">
        <v>95.325000000000003</v>
      </c>
      <c r="I19" s="745">
        <v>95.414000000000001</v>
      </c>
      <c r="J19" s="745">
        <v>95.33</v>
      </c>
      <c r="K19" s="745">
        <v>95.055000000000007</v>
      </c>
      <c r="L19" s="745">
        <v>94.637</v>
      </c>
    </row>
    <row r="20" spans="2:12" x14ac:dyDescent="0.25">
      <c r="B20" s="745" t="s">
        <v>636</v>
      </c>
      <c r="C20" s="745" t="s">
        <v>637</v>
      </c>
      <c r="D20" s="745">
        <v>90.072999999999993</v>
      </c>
      <c r="E20" s="745">
        <v>89.366</v>
      </c>
      <c r="F20" s="745">
        <v>88.834999999999994</v>
      </c>
      <c r="G20" s="745">
        <v>88.335999999999999</v>
      </c>
      <c r="H20" s="745">
        <v>88.099000000000004</v>
      </c>
      <c r="I20" s="745">
        <v>87.753</v>
      </c>
      <c r="J20" s="745">
        <v>87.545000000000002</v>
      </c>
      <c r="K20" s="745">
        <v>87.224000000000004</v>
      </c>
      <c r="L20" s="745">
        <v>87.11</v>
      </c>
    </row>
    <row r="21" spans="2:12" x14ac:dyDescent="0.25">
      <c r="B21" s="745" t="s">
        <v>638</v>
      </c>
      <c r="C21" s="745" t="s">
        <v>639</v>
      </c>
      <c r="D21" s="745">
        <v>97.435000000000002</v>
      </c>
      <c r="E21" s="745">
        <v>96.793999999999997</v>
      </c>
      <c r="F21" s="745">
        <v>97.344999999999999</v>
      </c>
      <c r="G21" s="745">
        <v>98.162000000000006</v>
      </c>
      <c r="H21" s="745">
        <v>99.113</v>
      </c>
      <c r="I21" s="745">
        <v>99.450999999999993</v>
      </c>
      <c r="J21" s="745">
        <v>99.438000000000002</v>
      </c>
      <c r="K21" s="745">
        <v>99.191000000000003</v>
      </c>
      <c r="L21" s="745">
        <v>98.600999999999999</v>
      </c>
    </row>
    <row r="22" spans="2:12" x14ac:dyDescent="0.25">
      <c r="B22" s="745" t="s">
        <v>640</v>
      </c>
      <c r="C22" s="745" t="s">
        <v>475</v>
      </c>
      <c r="D22" s="745">
        <v>110.967</v>
      </c>
      <c r="E22" s="745">
        <v>111.64</v>
      </c>
      <c r="F22" s="745">
        <v>112.19799999999999</v>
      </c>
      <c r="G22" s="745">
        <v>113.117</v>
      </c>
      <c r="H22" s="745">
        <v>113.836</v>
      </c>
      <c r="I22" s="745">
        <v>114.602</v>
      </c>
      <c r="J22" s="745">
        <v>115.29900000000001</v>
      </c>
      <c r="K22" s="745">
        <v>116.06699999999999</v>
      </c>
      <c r="L22" s="745">
        <v>116.452</v>
      </c>
    </row>
    <row r="23" spans="2:12" x14ac:dyDescent="0.25">
      <c r="B23" s="745" t="s">
        <v>641</v>
      </c>
      <c r="C23" s="746" t="s">
        <v>463</v>
      </c>
      <c r="D23" s="745">
        <v>104.794</v>
      </c>
      <c r="E23" s="745">
        <v>105.22799999999999</v>
      </c>
      <c r="F23" s="745">
        <v>105.375</v>
      </c>
      <c r="G23" s="745">
        <v>106.02</v>
      </c>
      <c r="H23" s="745">
        <v>106.70699999999999</v>
      </c>
      <c r="I23" s="745">
        <v>107.923</v>
      </c>
      <c r="J23" s="745">
        <v>107.991</v>
      </c>
      <c r="K23" s="745">
        <v>108.624</v>
      </c>
      <c r="L23" s="745">
        <v>108.64</v>
      </c>
    </row>
    <row r="24" spans="2:12" x14ac:dyDescent="0.25">
      <c r="B24" s="745" t="s">
        <v>642</v>
      </c>
      <c r="C24" s="745" t="s">
        <v>643</v>
      </c>
      <c r="D24" s="745">
        <v>105.212</v>
      </c>
      <c r="E24" s="745">
        <v>105.714</v>
      </c>
      <c r="F24" s="745">
        <v>106.241</v>
      </c>
      <c r="G24" s="745">
        <v>106.565</v>
      </c>
      <c r="H24" s="745">
        <v>107.218</v>
      </c>
      <c r="I24" s="745">
        <v>108.054</v>
      </c>
      <c r="J24" s="745">
        <v>108.59099999999999</v>
      </c>
      <c r="K24" s="745">
        <v>108.974</v>
      </c>
      <c r="L24" s="745">
        <v>109.429</v>
      </c>
    </row>
    <row r="25" spans="2:12" x14ac:dyDescent="0.25">
      <c r="B25" s="745" t="s">
        <v>644</v>
      </c>
      <c r="C25" s="745" t="s">
        <v>645</v>
      </c>
      <c r="D25" s="745">
        <v>101.556</v>
      </c>
      <c r="E25" s="745">
        <v>101.81399999999999</v>
      </c>
      <c r="F25" s="745">
        <v>102.143</v>
      </c>
      <c r="G25" s="745">
        <v>102.32</v>
      </c>
      <c r="H25" s="745">
        <v>102.496</v>
      </c>
      <c r="I25" s="745">
        <v>103.001</v>
      </c>
      <c r="J25" s="745">
        <v>103.399</v>
      </c>
      <c r="K25" s="745">
        <v>103.676</v>
      </c>
      <c r="L25" s="745">
        <v>104.053</v>
      </c>
    </row>
    <row r="26" spans="2:12" x14ac:dyDescent="0.25">
      <c r="B26" s="745" t="s">
        <v>646</v>
      </c>
      <c r="C26" s="745" t="s">
        <v>647</v>
      </c>
      <c r="D26" s="745">
        <v>111.654</v>
      </c>
      <c r="E26" s="745">
        <v>112.672</v>
      </c>
      <c r="F26" s="745">
        <v>113.753</v>
      </c>
      <c r="G26" s="745">
        <v>114.41200000000001</v>
      </c>
      <c r="H26" s="745">
        <v>115.30500000000001</v>
      </c>
      <c r="I26" s="745">
        <v>116.742</v>
      </c>
      <c r="J26" s="745">
        <v>117.628</v>
      </c>
      <c r="K26" s="745">
        <v>119.29900000000001</v>
      </c>
      <c r="L26" s="745">
        <v>120.122</v>
      </c>
    </row>
    <row r="27" spans="2:12" x14ac:dyDescent="0.25">
      <c r="B27" s="745" t="s">
        <v>648</v>
      </c>
      <c r="C27" s="745" t="s">
        <v>649</v>
      </c>
      <c r="D27" s="745">
        <v>97.331000000000003</v>
      </c>
      <c r="E27" s="745">
        <v>97.259</v>
      </c>
      <c r="F27" s="745">
        <v>97.135999999999996</v>
      </c>
      <c r="G27" s="745">
        <v>97.02</v>
      </c>
      <c r="H27" s="745">
        <v>96.942999999999998</v>
      </c>
      <c r="I27" s="745">
        <v>97.146000000000001</v>
      </c>
      <c r="J27" s="745">
        <v>97.44</v>
      </c>
      <c r="K27" s="745">
        <v>97.272999999999996</v>
      </c>
      <c r="L27" s="745">
        <v>97.460999999999999</v>
      </c>
    </row>
    <row r="28" spans="2:12" x14ac:dyDescent="0.25">
      <c r="B28" s="745" t="s">
        <v>650</v>
      </c>
      <c r="C28" s="745" t="s">
        <v>651</v>
      </c>
      <c r="D28" s="745">
        <v>100.77</v>
      </c>
      <c r="E28" s="745">
        <v>101.02500000000001</v>
      </c>
      <c r="F28" s="745">
        <v>101.532</v>
      </c>
      <c r="G28" s="745">
        <v>101.83799999999999</v>
      </c>
      <c r="H28" s="745">
        <v>101.941</v>
      </c>
      <c r="I28" s="745">
        <v>102.30200000000001</v>
      </c>
      <c r="J28" s="745">
        <v>102.547</v>
      </c>
      <c r="K28" s="745">
        <v>102.617</v>
      </c>
      <c r="L28" s="745">
        <v>102.996</v>
      </c>
    </row>
    <row r="29" spans="2:12" x14ac:dyDescent="0.25">
      <c r="B29" s="745" t="s">
        <v>652</v>
      </c>
      <c r="C29" s="745" t="s">
        <v>653</v>
      </c>
      <c r="D29" s="745">
        <v>121.443</v>
      </c>
      <c r="E29" s="745">
        <v>122.952</v>
      </c>
      <c r="F29" s="745">
        <v>124.316</v>
      </c>
      <c r="G29" s="745">
        <v>125.254</v>
      </c>
      <c r="H29" s="745">
        <v>127.934</v>
      </c>
      <c r="I29" s="745">
        <v>130.21199999999999</v>
      </c>
      <c r="J29" s="745">
        <v>131.369</v>
      </c>
      <c r="K29" s="745">
        <v>132.22900000000001</v>
      </c>
      <c r="L29" s="745">
        <v>133.042</v>
      </c>
    </row>
    <row r="30" spans="2:12" x14ac:dyDescent="0.25">
      <c r="B30" s="745" t="s">
        <v>654</v>
      </c>
      <c r="C30" s="745" t="s">
        <v>655</v>
      </c>
      <c r="D30" s="745" t="s">
        <v>471</v>
      </c>
      <c r="E30" s="745" t="s">
        <v>471</v>
      </c>
      <c r="F30" s="745" t="s">
        <v>471</v>
      </c>
      <c r="G30" s="745" t="s">
        <v>471</v>
      </c>
      <c r="H30" s="745" t="s">
        <v>471</v>
      </c>
      <c r="I30" s="745" t="s">
        <v>471</v>
      </c>
      <c r="J30" s="745" t="s">
        <v>471</v>
      </c>
      <c r="K30" s="745" t="s">
        <v>471</v>
      </c>
      <c r="L30" s="745" t="s">
        <v>471</v>
      </c>
    </row>
    <row r="31" spans="2:12" x14ac:dyDescent="0.25">
      <c r="B31" s="745" t="s">
        <v>656</v>
      </c>
      <c r="C31" s="746" t="s">
        <v>472</v>
      </c>
      <c r="D31" s="745" t="s">
        <v>471</v>
      </c>
      <c r="E31" s="745" t="s">
        <v>471</v>
      </c>
      <c r="F31" s="745" t="s">
        <v>471</v>
      </c>
      <c r="G31" s="745" t="s">
        <v>471</v>
      </c>
      <c r="H31" s="745" t="s">
        <v>471</v>
      </c>
      <c r="I31" s="745" t="s">
        <v>471</v>
      </c>
      <c r="J31" s="745" t="s">
        <v>471</v>
      </c>
      <c r="K31" s="745" t="s">
        <v>471</v>
      </c>
      <c r="L31" s="745" t="s">
        <v>471</v>
      </c>
    </row>
    <row r="32" spans="2:12" x14ac:dyDescent="0.25">
      <c r="B32" s="745" t="s">
        <v>657</v>
      </c>
      <c r="C32" s="745" t="s">
        <v>658</v>
      </c>
      <c r="D32" s="745">
        <v>95.061999999999998</v>
      </c>
      <c r="E32" s="745">
        <v>95.123999999999995</v>
      </c>
      <c r="F32" s="745">
        <v>96.019000000000005</v>
      </c>
      <c r="G32" s="745">
        <v>97.441999999999993</v>
      </c>
      <c r="H32" s="745">
        <v>98.397000000000006</v>
      </c>
      <c r="I32" s="745">
        <v>99.784999999999997</v>
      </c>
      <c r="J32" s="745">
        <v>99.855999999999995</v>
      </c>
      <c r="K32" s="745">
        <v>99.501999999999995</v>
      </c>
      <c r="L32" s="745">
        <v>98.623000000000005</v>
      </c>
    </row>
    <row r="33" spans="2:12" x14ac:dyDescent="0.25">
      <c r="B33" s="745" t="s">
        <v>659</v>
      </c>
      <c r="C33" s="745" t="s">
        <v>660</v>
      </c>
      <c r="D33" s="745">
        <v>89.710999999999999</v>
      </c>
      <c r="E33" s="745">
        <v>89.599000000000004</v>
      </c>
      <c r="F33" s="745">
        <v>90.667000000000002</v>
      </c>
      <c r="G33" s="745">
        <v>91.927999999999997</v>
      </c>
      <c r="H33" s="745">
        <v>92.879000000000005</v>
      </c>
      <c r="I33" s="745">
        <v>94.313000000000002</v>
      </c>
      <c r="J33" s="745">
        <v>94.283000000000001</v>
      </c>
      <c r="K33" s="745">
        <v>93.594999999999999</v>
      </c>
      <c r="L33" s="745">
        <v>92.385000000000005</v>
      </c>
    </row>
    <row r="34" spans="2:12" x14ac:dyDescent="0.25">
      <c r="B34" s="745" t="s">
        <v>661</v>
      </c>
      <c r="C34" s="745" t="s">
        <v>662</v>
      </c>
      <c r="D34" s="745">
        <v>107.042</v>
      </c>
      <c r="E34" s="745">
        <v>107.491</v>
      </c>
      <c r="F34" s="745">
        <v>107.995</v>
      </c>
      <c r="G34" s="745">
        <v>109.779</v>
      </c>
      <c r="H34" s="745">
        <v>110.74299999999999</v>
      </c>
      <c r="I34" s="745">
        <v>112.018</v>
      </c>
      <c r="J34" s="745">
        <v>112.324</v>
      </c>
      <c r="K34" s="745">
        <v>112.733</v>
      </c>
      <c r="L34" s="745">
        <v>112.613</v>
      </c>
    </row>
    <row r="35" spans="2:12" x14ac:dyDescent="0.25">
      <c r="B35" s="745" t="s">
        <v>663</v>
      </c>
      <c r="C35" s="745" t="s">
        <v>664</v>
      </c>
      <c r="D35" s="745">
        <v>88.09</v>
      </c>
      <c r="E35" s="745">
        <v>88.08</v>
      </c>
      <c r="F35" s="745">
        <v>88.296999999999997</v>
      </c>
      <c r="G35" s="745">
        <v>89.537999999999997</v>
      </c>
      <c r="H35" s="745">
        <v>91.123999999999995</v>
      </c>
      <c r="I35" s="745">
        <v>91.311999999999998</v>
      </c>
      <c r="J35" s="745">
        <v>91.414000000000001</v>
      </c>
      <c r="K35" s="745">
        <v>91.180999999999997</v>
      </c>
      <c r="L35" s="745">
        <v>90.48</v>
      </c>
    </row>
    <row r="36" spans="2:12" x14ac:dyDescent="0.25">
      <c r="B36" s="745" t="s">
        <v>665</v>
      </c>
      <c r="C36" s="745" t="s">
        <v>660</v>
      </c>
      <c r="D36" s="745">
        <v>85.575000000000003</v>
      </c>
      <c r="E36" s="745">
        <v>85.388000000000005</v>
      </c>
      <c r="F36" s="745">
        <v>85.387</v>
      </c>
      <c r="G36" s="745">
        <v>86.659000000000006</v>
      </c>
      <c r="H36" s="745">
        <v>88.32</v>
      </c>
      <c r="I36" s="745">
        <v>88.38</v>
      </c>
      <c r="J36" s="745">
        <v>88.448999999999998</v>
      </c>
      <c r="K36" s="745">
        <v>88.117999999999995</v>
      </c>
      <c r="L36" s="745">
        <v>87.29</v>
      </c>
    </row>
    <row r="37" spans="2:12" x14ac:dyDescent="0.25">
      <c r="B37" s="745" t="s">
        <v>666</v>
      </c>
      <c r="C37" s="745" t="s">
        <v>662</v>
      </c>
      <c r="D37" s="745">
        <v>101.206</v>
      </c>
      <c r="E37" s="745">
        <v>102.108</v>
      </c>
      <c r="F37" s="745">
        <v>103.449</v>
      </c>
      <c r="G37" s="745">
        <v>104.53100000000001</v>
      </c>
      <c r="H37" s="745">
        <v>105.718</v>
      </c>
      <c r="I37" s="745">
        <v>106.572</v>
      </c>
      <c r="J37" s="745">
        <v>106.849</v>
      </c>
      <c r="K37" s="745">
        <v>107.13200000000001</v>
      </c>
      <c r="L37" s="745">
        <v>107.098</v>
      </c>
    </row>
    <row r="38" spans="2:12" x14ac:dyDescent="0.25">
      <c r="B38" s="745" t="s">
        <v>667</v>
      </c>
      <c r="C38" s="746" t="s">
        <v>477</v>
      </c>
      <c r="D38" s="745">
        <v>106.928</v>
      </c>
      <c r="E38" s="745">
        <v>107.349</v>
      </c>
      <c r="F38" s="745">
        <v>108.026</v>
      </c>
      <c r="G38" s="745">
        <v>108.883</v>
      </c>
      <c r="H38" s="745">
        <v>109.664</v>
      </c>
      <c r="I38" s="745">
        <v>110.554</v>
      </c>
      <c r="J38" s="745">
        <v>111.23099999999999</v>
      </c>
      <c r="K38" s="745">
        <v>111.94</v>
      </c>
      <c r="L38" s="745">
        <v>112.239</v>
      </c>
    </row>
    <row r="39" spans="2:12" x14ac:dyDescent="0.25">
      <c r="B39" s="745" t="s">
        <v>668</v>
      </c>
      <c r="C39" s="745" t="s">
        <v>669</v>
      </c>
      <c r="D39" s="745">
        <v>105.244</v>
      </c>
      <c r="E39" s="745">
        <v>105.593</v>
      </c>
      <c r="F39" s="745">
        <v>105.91200000000001</v>
      </c>
      <c r="G39" s="745">
        <v>106.255</v>
      </c>
      <c r="H39" s="745">
        <v>106.738</v>
      </c>
      <c r="I39" s="745">
        <v>107.273</v>
      </c>
      <c r="J39" s="745">
        <v>107.681</v>
      </c>
      <c r="K39" s="745">
        <v>108.387</v>
      </c>
      <c r="L39" s="745">
        <v>109.488</v>
      </c>
    </row>
    <row r="40" spans="2:12" x14ac:dyDescent="0.25">
      <c r="B40" s="745" t="s">
        <v>670</v>
      </c>
      <c r="C40" s="745" t="s">
        <v>671</v>
      </c>
      <c r="D40" s="745">
        <v>103.82</v>
      </c>
      <c r="E40" s="745">
        <v>104.05500000000001</v>
      </c>
      <c r="F40" s="745">
        <v>104.321</v>
      </c>
      <c r="G40" s="745">
        <v>104.636</v>
      </c>
      <c r="H40" s="745">
        <v>105.009</v>
      </c>
      <c r="I40" s="745">
        <v>105.35299999999999</v>
      </c>
      <c r="J40" s="745">
        <v>105.67</v>
      </c>
      <c r="K40" s="745">
        <v>106.09</v>
      </c>
      <c r="L40" s="745">
        <v>106.30500000000001</v>
      </c>
    </row>
    <row r="41" spans="2:12" x14ac:dyDescent="0.25">
      <c r="B41" s="745" t="s">
        <v>672</v>
      </c>
      <c r="C41" s="745" t="s">
        <v>673</v>
      </c>
      <c r="D41" s="745">
        <v>107.5</v>
      </c>
      <c r="E41" s="745">
        <v>108.021</v>
      </c>
      <c r="F41" s="745">
        <v>108.42</v>
      </c>
      <c r="G41" s="745">
        <v>108.80500000000001</v>
      </c>
      <c r="H41" s="745">
        <v>109.45</v>
      </c>
      <c r="I41" s="745">
        <v>110.26900000000001</v>
      </c>
      <c r="J41" s="745">
        <v>110.815</v>
      </c>
      <c r="K41" s="745">
        <v>111.96</v>
      </c>
      <c r="L41" s="745">
        <v>114.45699999999999</v>
      </c>
    </row>
    <row r="42" spans="2:12" x14ac:dyDescent="0.25">
      <c r="B42" s="745" t="s">
        <v>674</v>
      </c>
      <c r="C42" s="745" t="s">
        <v>675</v>
      </c>
      <c r="D42" s="745">
        <v>108.062</v>
      </c>
      <c r="E42" s="745">
        <v>108.529</v>
      </c>
      <c r="F42" s="745">
        <v>109.428</v>
      </c>
      <c r="G42" s="745">
        <v>110.604</v>
      </c>
      <c r="H42" s="745">
        <v>111.57299999999999</v>
      </c>
      <c r="I42" s="745">
        <v>112.68600000000001</v>
      </c>
      <c r="J42" s="745">
        <v>113.53400000000001</v>
      </c>
      <c r="K42" s="745">
        <v>114.244</v>
      </c>
      <c r="L42" s="745">
        <v>114.035</v>
      </c>
    </row>
    <row r="43" spans="2:12" x14ac:dyDescent="0.25">
      <c r="B43" s="745" t="s">
        <v>483</v>
      </c>
      <c r="C43" s="746" t="s">
        <v>482</v>
      </c>
      <c r="D43" s="745" t="s">
        <v>483</v>
      </c>
      <c r="E43" s="745" t="s">
        <v>483</v>
      </c>
      <c r="F43" s="745" t="s">
        <v>483</v>
      </c>
      <c r="G43" s="745" t="s">
        <v>483</v>
      </c>
      <c r="H43" s="745" t="s">
        <v>483</v>
      </c>
      <c r="I43" s="745" t="s">
        <v>483</v>
      </c>
      <c r="J43" s="745" t="s">
        <v>483</v>
      </c>
      <c r="K43" s="745" t="s">
        <v>483</v>
      </c>
      <c r="L43" s="745" t="s">
        <v>483</v>
      </c>
    </row>
    <row r="44" spans="2:12" x14ac:dyDescent="0.25">
      <c r="B44" s="745" t="s">
        <v>676</v>
      </c>
      <c r="C44" s="745" t="s">
        <v>677</v>
      </c>
      <c r="D44" s="745">
        <v>107.23</v>
      </c>
      <c r="E44" s="745">
        <v>107.536</v>
      </c>
      <c r="F44" s="745">
        <v>108.053</v>
      </c>
      <c r="G44" s="745">
        <v>108.77500000000001</v>
      </c>
      <c r="H44" s="745">
        <v>109.301</v>
      </c>
      <c r="I44" s="745">
        <v>110.191</v>
      </c>
      <c r="J44" s="745">
        <v>110.605</v>
      </c>
      <c r="K44" s="745">
        <v>111.113</v>
      </c>
      <c r="L44" s="745">
        <v>111.251</v>
      </c>
    </row>
  </sheetData>
  <mergeCells count="18">
    <mergeCell ref="E16"/>
    <mergeCell ref="F16"/>
    <mergeCell ref="G16"/>
    <mergeCell ref="H16"/>
    <mergeCell ref="I16"/>
    <mergeCell ref="J16"/>
    <mergeCell ref="B10:L10"/>
    <mergeCell ref="B11:L11"/>
    <mergeCell ref="B12:L12"/>
    <mergeCell ref="B13:L13"/>
    <mergeCell ref="B15:B16"/>
    <mergeCell ref="C15:C16"/>
    <mergeCell ref="D15:G15"/>
    <mergeCell ref="H15:K15"/>
    <mergeCell ref="L15"/>
    <mergeCell ref="D16"/>
    <mergeCell ref="K16"/>
    <mergeCell ref="L16"/>
  </mergeCells>
  <pageMargins left="0.7" right="0.7" top="0.75" bottom="0.75" header="0.3" footer="0.3"/>
  <pageSetup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E8"/>
  <sheetViews>
    <sheetView showGridLines="0" workbookViewId="0"/>
  </sheetViews>
  <sheetFormatPr defaultColWidth="9" defaultRowHeight="10.5" x14ac:dyDescent="0.25"/>
  <cols>
    <col min="1" max="1" width="22.6640625" style="382" customWidth="1"/>
    <col min="2" max="2" width="13.21875" style="382" customWidth="1"/>
    <col min="3" max="3" width="10.33203125" style="382" customWidth="1"/>
    <col min="4" max="4" width="10.88671875" style="382" customWidth="1"/>
    <col min="5" max="5" width="60.77734375" style="382" customWidth="1"/>
    <col min="6" max="16384" width="9" style="382"/>
  </cols>
  <sheetData>
    <row r="2" spans="1:5" x14ac:dyDescent="0.25">
      <c r="A2" s="542" t="s">
        <v>425</v>
      </c>
      <c r="B2" s="542" t="s">
        <v>426</v>
      </c>
      <c r="C2" s="542" t="s">
        <v>427</v>
      </c>
      <c r="D2" s="542" t="s">
        <v>428</v>
      </c>
      <c r="E2" s="542" t="s">
        <v>110</v>
      </c>
    </row>
    <row r="3" spans="1:5" x14ac:dyDescent="0.25">
      <c r="A3" s="543" t="s">
        <v>429</v>
      </c>
      <c r="B3" s="544" t="s">
        <v>430</v>
      </c>
      <c r="C3" s="545">
        <v>2240</v>
      </c>
      <c r="D3" s="545">
        <v>1016.047</v>
      </c>
      <c r="E3" s="543" t="s">
        <v>431</v>
      </c>
    </row>
    <row r="4" spans="1:5" x14ac:dyDescent="0.25">
      <c r="A4" s="543" t="s">
        <v>432</v>
      </c>
      <c r="B4" s="544" t="s">
        <v>433</v>
      </c>
      <c r="C4" s="545">
        <v>2000</v>
      </c>
      <c r="D4" s="545">
        <v>907.18470000000002</v>
      </c>
      <c r="E4" s="543" t="s">
        <v>434</v>
      </c>
    </row>
    <row r="5" spans="1:5" x14ac:dyDescent="0.25">
      <c r="A5" s="543" t="s">
        <v>435</v>
      </c>
      <c r="B5" s="544" t="s">
        <v>436</v>
      </c>
      <c r="C5" s="545">
        <v>2204.623</v>
      </c>
      <c r="D5" s="545">
        <v>1000</v>
      </c>
      <c r="E5" s="543" t="s">
        <v>437</v>
      </c>
    </row>
    <row r="6" spans="1:5" x14ac:dyDescent="0.25">
      <c r="A6" s="546" t="s">
        <v>438</v>
      </c>
    </row>
    <row r="8" spans="1:5" x14ac:dyDescent="0.25">
      <c r="A8" s="343" t="s">
        <v>439</v>
      </c>
    </row>
  </sheetData>
  <hyperlinks>
    <hyperlink ref="A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K198"/>
  <sheetViews>
    <sheetView zoomScale="90" zoomScaleNormal="90" workbookViewId="0"/>
  </sheetViews>
  <sheetFormatPr defaultColWidth="9" defaultRowHeight="11.8" x14ac:dyDescent="0.2"/>
  <cols>
    <col min="1" max="1" width="2.21875" style="685" customWidth="1"/>
    <col min="2" max="2" width="24.33203125" style="685" customWidth="1"/>
    <col min="3" max="3" width="21.33203125" style="685" customWidth="1"/>
    <col min="4" max="4" width="19.44140625" style="685" customWidth="1"/>
    <col min="5" max="5" width="19" style="685" customWidth="1"/>
    <col min="6" max="6" width="20.77734375" style="685" customWidth="1"/>
    <col min="7" max="7" width="14.77734375" style="685" customWidth="1"/>
    <col min="8" max="8" width="13.44140625" style="685" customWidth="1"/>
    <col min="9" max="9" width="12.33203125" style="685" customWidth="1"/>
    <col min="10" max="10" width="12" style="685" customWidth="1"/>
    <col min="11" max="11" width="26.88671875" style="685" customWidth="1"/>
    <col min="12" max="12" width="11.88671875" style="685" customWidth="1"/>
    <col min="13" max="16384" width="9" style="685"/>
  </cols>
  <sheetData>
    <row r="1" spans="2:6" ht="10.5" customHeight="1" x14ac:dyDescent="0.2"/>
    <row r="2" spans="2:6" ht="17.7" x14ac:dyDescent="0.3">
      <c r="B2" s="641" t="s">
        <v>576</v>
      </c>
    </row>
    <row r="4" spans="2:6" ht="12.45" thickBot="1" x14ac:dyDescent="0.25">
      <c r="B4" s="686" t="s">
        <v>1074</v>
      </c>
    </row>
    <row r="5" spans="2:6" ht="24.25" thickBot="1" x14ac:dyDescent="0.25">
      <c r="B5" s="1004" t="s">
        <v>577</v>
      </c>
      <c r="C5" s="1004" t="s">
        <v>578</v>
      </c>
      <c r="D5" s="1004" t="s">
        <v>579</v>
      </c>
      <c r="E5" s="1004" t="s">
        <v>1042</v>
      </c>
      <c r="F5" s="681" t="s">
        <v>1075</v>
      </c>
    </row>
    <row r="6" spans="2:6" ht="47.8" thickBot="1" x14ac:dyDescent="0.25">
      <c r="B6" s="1187" t="s">
        <v>1146</v>
      </c>
      <c r="C6" s="1187" t="s">
        <v>1147</v>
      </c>
      <c r="D6" s="964" t="s">
        <v>950</v>
      </c>
      <c r="E6" s="961" t="s">
        <v>949</v>
      </c>
      <c r="F6" s="1099">
        <f>Results!D14</f>
        <v>29310.774672542615</v>
      </c>
    </row>
    <row r="7" spans="2:6" ht="83.15" thickBot="1" x14ac:dyDescent="0.25">
      <c r="B7" s="1188"/>
      <c r="C7" s="1188"/>
      <c r="D7" s="984" t="s">
        <v>951</v>
      </c>
      <c r="E7" s="985" t="s">
        <v>1043</v>
      </c>
      <c r="F7" s="1099">
        <f>Results!$D$10</f>
        <v>1435292.2125408174</v>
      </c>
    </row>
    <row r="8" spans="2:6" ht="59.6" thickBot="1" x14ac:dyDescent="0.25">
      <c r="B8" s="1188"/>
      <c r="C8" s="1188"/>
      <c r="D8" s="986" t="s">
        <v>575</v>
      </c>
      <c r="E8" s="987" t="s">
        <v>1044</v>
      </c>
      <c r="F8" s="1099">
        <f>Results!$D$15</f>
        <v>2572111.3404104668</v>
      </c>
    </row>
    <row r="9" spans="2:6" ht="83.15" thickBot="1" x14ac:dyDescent="0.25">
      <c r="B9" s="1188"/>
      <c r="C9" s="1188"/>
      <c r="D9" s="988" t="s">
        <v>1047</v>
      </c>
      <c r="E9" s="989" t="s">
        <v>1045</v>
      </c>
      <c r="F9" s="1099">
        <f>Results!$D$7</f>
        <v>38502324.367128596</v>
      </c>
    </row>
    <row r="10" spans="2:6" ht="47.8" thickBot="1" x14ac:dyDescent="0.25">
      <c r="B10" s="1188"/>
      <c r="C10" s="1188"/>
      <c r="D10" s="1181" t="s">
        <v>1048</v>
      </c>
      <c r="E10" s="991" t="s">
        <v>1049</v>
      </c>
      <c r="F10" s="1099">
        <f>Results!$D$8</f>
        <v>252787.52626913812</v>
      </c>
    </row>
    <row r="11" spans="2:6" ht="47.8" thickBot="1" x14ac:dyDescent="0.25">
      <c r="B11" s="1188"/>
      <c r="C11" s="1188"/>
      <c r="D11" s="1182"/>
      <c r="E11" s="991" t="s">
        <v>1050</v>
      </c>
      <c r="F11" s="1099">
        <f>Results!$D$9</f>
        <v>97542.625409214656</v>
      </c>
    </row>
    <row r="12" spans="2:6" ht="47.8" thickBot="1" x14ac:dyDescent="0.25">
      <c r="B12" s="1188"/>
      <c r="C12" s="1188"/>
      <c r="D12" s="990" t="s">
        <v>922</v>
      </c>
      <c r="E12" s="991" t="s">
        <v>952</v>
      </c>
      <c r="F12" s="1099">
        <f>Results!$D$12</f>
        <v>8926.2529158647303</v>
      </c>
    </row>
    <row r="13" spans="2:6" ht="47.8" thickBot="1" x14ac:dyDescent="0.25">
      <c r="B13" s="1188"/>
      <c r="C13" s="1188"/>
      <c r="D13" s="988" t="s">
        <v>1076</v>
      </c>
      <c r="E13" s="989" t="s">
        <v>1046</v>
      </c>
      <c r="F13" s="1106">
        <f>Results!$D$11</f>
        <v>20380.985768460585</v>
      </c>
    </row>
    <row r="14" spans="2:6" ht="47.8" thickBot="1" x14ac:dyDescent="0.25">
      <c r="B14" s="1189"/>
      <c r="C14" s="1189"/>
      <c r="D14" s="990" t="s">
        <v>923</v>
      </c>
      <c r="E14" s="991" t="s">
        <v>953</v>
      </c>
      <c r="F14" s="1106">
        <f>Results!$D$13</f>
        <v>38.891676514756234</v>
      </c>
    </row>
    <row r="16" spans="2:6" ht="12.45" thickBot="1" x14ac:dyDescent="0.25">
      <c r="B16" s="974" t="s">
        <v>1077</v>
      </c>
      <c r="C16" s="975"/>
      <c r="D16" s="976"/>
    </row>
    <row r="17" spans="2:4" ht="12.45" thickBot="1" x14ac:dyDescent="0.25">
      <c r="B17" s="977" t="s">
        <v>942</v>
      </c>
      <c r="C17" s="978" t="s">
        <v>943</v>
      </c>
      <c r="D17" s="978" t="s">
        <v>944</v>
      </c>
    </row>
    <row r="18" spans="2:4" ht="12.45" thickBot="1" x14ac:dyDescent="0.25">
      <c r="B18" s="959" t="s">
        <v>954</v>
      </c>
      <c r="C18" s="1089">
        <f>Results!C16</f>
        <v>175767336.60796386</v>
      </c>
      <c r="D18" s="1089">
        <f>Results!D16</f>
        <v>42918714.97679162</v>
      </c>
    </row>
    <row r="19" spans="2:4" ht="12.45" thickBot="1" x14ac:dyDescent="0.25">
      <c r="B19" s="959" t="s">
        <v>914</v>
      </c>
      <c r="C19" s="1089">
        <f>Results!C19</f>
        <v>73459128.138333708</v>
      </c>
      <c r="D19" s="1089">
        <f>Results!D19</f>
        <v>56127817.205489762</v>
      </c>
    </row>
    <row r="20" spans="2:4" ht="12.45" thickBot="1" x14ac:dyDescent="0.25">
      <c r="B20" s="959" t="s">
        <v>915</v>
      </c>
      <c r="C20" s="1089">
        <f>Results!C20</f>
        <v>102308208.46963015</v>
      </c>
      <c r="D20" s="1089">
        <f>Results!D20</f>
        <v>-13209102.228698142</v>
      </c>
    </row>
    <row r="21" spans="2:4" ht="12.45" thickBot="1" x14ac:dyDescent="0.25">
      <c r="B21" s="959" t="s">
        <v>916</v>
      </c>
      <c r="C21" s="979">
        <f>Results!C21</f>
        <v>2.3927228795442499</v>
      </c>
      <c r="D21" s="979">
        <f>Results!D21</f>
        <v>0.76466032555055097</v>
      </c>
    </row>
    <row r="22" spans="2:4" ht="12.45" thickBot="1" x14ac:dyDescent="0.25">
      <c r="B22" s="959" t="s">
        <v>917</v>
      </c>
      <c r="C22" s="980">
        <f>Results!C22</f>
        <v>5.0646521158638436E-2</v>
      </c>
      <c r="D22" s="980">
        <f>Results!D22</f>
        <v>5.0646521158638436E-2</v>
      </c>
    </row>
    <row r="23" spans="2:4" ht="12.45" thickBot="1" x14ac:dyDescent="0.25">
      <c r="B23" s="959" t="s">
        <v>610</v>
      </c>
      <c r="C23" s="981">
        <f>Results!C24</f>
        <v>14.054777715434886</v>
      </c>
      <c r="D23" s="981" t="str">
        <f>Results!D24</f>
        <v>&gt;30 yrs</v>
      </c>
    </row>
    <row r="24" spans="2:4" x14ac:dyDescent="0.2">
      <c r="B24" s="982"/>
      <c r="C24" s="983"/>
      <c r="D24" s="983"/>
    </row>
    <row r="25" spans="2:4" ht="12.45" thickBot="1" x14ac:dyDescent="0.25">
      <c r="B25" s="688" t="s">
        <v>1094</v>
      </c>
    </row>
    <row r="26" spans="2:4" ht="12.45" thickBot="1" x14ac:dyDescent="0.25">
      <c r="B26" s="690" t="s">
        <v>582</v>
      </c>
      <c r="C26" s="691" t="s">
        <v>905</v>
      </c>
    </row>
    <row r="27" spans="2:4" ht="12.45" thickBot="1" x14ac:dyDescent="0.25">
      <c r="B27" s="683">
        <v>2020</v>
      </c>
      <c r="C27" s="1099">
        <f>SUMIFS('Project Costs'!$D$18:$AM$18,'Project Costs'!$D$4:$AM$4,'Reporting Tab'!B27)</f>
        <v>7378880.215584999</v>
      </c>
    </row>
    <row r="28" spans="2:4" ht="12.45" thickBot="1" x14ac:dyDescent="0.25">
      <c r="B28" s="683">
        <f t="shared" ref="B28:B31" si="0">B27+1</f>
        <v>2021</v>
      </c>
      <c r="C28" s="1099">
        <f>SUMIFS('Project Costs'!$D$18:$AM$18,'Project Costs'!$D$4:$AM$4,'Reporting Tab'!B28)</f>
        <v>16857008.219178084</v>
      </c>
    </row>
    <row r="29" spans="2:4" ht="12.45" thickBot="1" x14ac:dyDescent="0.25">
      <c r="B29" s="683">
        <f t="shared" si="0"/>
        <v>2022</v>
      </c>
      <c r="C29" s="1099">
        <f>SUMIFS('Project Costs'!$D$18:$AM$18,'Project Costs'!$D$4:$AM$4,'Reporting Tab'!B29)</f>
        <v>22095431.394565463</v>
      </c>
    </row>
    <row r="30" spans="2:4" ht="12.45" thickBot="1" x14ac:dyDescent="0.25">
      <c r="B30" s="683">
        <f t="shared" si="0"/>
        <v>2023</v>
      </c>
      <c r="C30" s="1099">
        <f>SUMIFS('Project Costs'!$D$18:$AM$18,'Project Costs'!$D$4:$AM$4,'Reporting Tab'!B30)</f>
        <v>21215492.656635977</v>
      </c>
    </row>
    <row r="31" spans="2:4" ht="12.45" thickBot="1" x14ac:dyDescent="0.25">
      <c r="B31" s="683">
        <f t="shared" si="0"/>
        <v>2024</v>
      </c>
      <c r="C31" s="1099">
        <f>SUMIFS('Project Costs'!$D$18:$AM$18,'Project Costs'!$D$4:$AM$4,'Reporting Tab'!B31)</f>
        <v>5912315.6523691891</v>
      </c>
    </row>
    <row r="32" spans="2:4" ht="12.45" thickBot="1" x14ac:dyDescent="0.25">
      <c r="B32" s="684" t="s">
        <v>393</v>
      </c>
      <c r="C32" s="1100">
        <f>SUM(C27:C31)</f>
        <v>73459128.138333708</v>
      </c>
    </row>
    <row r="34" spans="2:8" x14ac:dyDescent="0.2">
      <c r="C34" s="707" t="b">
        <f>C32=Results!$C$17</f>
        <v>1</v>
      </c>
    </row>
    <row r="35" spans="2:8" s="682" customFormat="1" x14ac:dyDescent="0.2">
      <c r="C35" s="708"/>
    </row>
    <row r="36" spans="2:8" s="682" customFormat="1" ht="12.45" thickBot="1" x14ac:dyDescent="0.25">
      <c r="B36" s="688" t="s">
        <v>1078</v>
      </c>
      <c r="C36" s="708"/>
    </row>
    <row r="37" spans="2:8" s="682" customFormat="1" ht="12.45" thickBot="1" x14ac:dyDescent="0.25">
      <c r="B37" s="992" t="s">
        <v>955</v>
      </c>
      <c r="C37" s="978">
        <v>2020</v>
      </c>
      <c r="D37" s="978">
        <f>C37+1</f>
        <v>2021</v>
      </c>
      <c r="E37" s="978">
        <f t="shared" ref="E37:G37" si="1">D37+1</f>
        <v>2022</v>
      </c>
      <c r="F37" s="978">
        <f t="shared" si="1"/>
        <v>2023</v>
      </c>
      <c r="G37" s="978">
        <f t="shared" si="1"/>
        <v>2024</v>
      </c>
      <c r="H37" s="978" t="s">
        <v>393</v>
      </c>
    </row>
    <row r="38" spans="2:8" s="682" customFormat="1" ht="24.25" thickBot="1" x14ac:dyDescent="0.25">
      <c r="B38" s="993" t="s">
        <v>1142</v>
      </c>
      <c r="C38" s="1096">
        <f>'Project Costs'!E14</f>
        <v>2521036.6045362679</v>
      </c>
      <c r="D38" s="1096">
        <f>'Project Costs'!F14</f>
        <v>16857008.219178084</v>
      </c>
      <c r="E38" s="1096">
        <f>'Project Costs'!G14</f>
        <v>0</v>
      </c>
      <c r="F38" s="1096">
        <f>'Project Costs'!H14</f>
        <v>0</v>
      </c>
      <c r="G38" s="1096">
        <f>'Project Costs'!I14</f>
        <v>5619002.7397260275</v>
      </c>
      <c r="H38" s="1097">
        <f>SUM(C38:G38)</f>
        <v>24997047.563440382</v>
      </c>
    </row>
    <row r="39" spans="2:8" s="682" customFormat="1" ht="12.45" thickBot="1" x14ac:dyDescent="0.25">
      <c r="B39" s="993" t="s">
        <v>1090</v>
      </c>
      <c r="C39" s="1096">
        <f>'Project Costs'!E15</f>
        <v>135748.12485964518</v>
      </c>
      <c r="D39" s="1096">
        <f>'Project Costs'!F15</f>
        <v>0</v>
      </c>
      <c r="E39" s="1096">
        <f>'Project Costs'!G15</f>
        <v>879938.73792948574</v>
      </c>
      <c r="F39" s="1096">
        <f>'Project Costs'!H15</f>
        <v>0</v>
      </c>
      <c r="G39" s="1096">
        <f>'Project Costs'!I15</f>
        <v>293312.91264316189</v>
      </c>
      <c r="H39" s="1097">
        <f t="shared" ref="H39:H41" si="2">SUM(C39:G39)</f>
        <v>1308999.7754322928</v>
      </c>
    </row>
    <row r="40" spans="2:8" s="682" customFormat="1" ht="12.45" thickBot="1" x14ac:dyDescent="0.25">
      <c r="B40" s="993" t="s">
        <v>1020</v>
      </c>
      <c r="C40" s="1096">
        <f>'Project Costs'!E16</f>
        <v>979325.75791601173</v>
      </c>
      <c r="D40" s="1096">
        <f>'Project Costs'!F16</f>
        <v>0</v>
      </c>
      <c r="E40" s="1096">
        <f>'Project Costs'!G16</f>
        <v>4373028.8794071414</v>
      </c>
      <c r="F40" s="1096">
        <f>'Project Costs'!H16</f>
        <v>4373028.8794071414</v>
      </c>
      <c r="G40" s="1096">
        <f>'Project Costs'!I16</f>
        <v>0</v>
      </c>
      <c r="H40" s="1097">
        <f t="shared" si="2"/>
        <v>9725383.5167302936</v>
      </c>
    </row>
    <row r="41" spans="2:8" s="682" customFormat="1" ht="12.45" thickBot="1" x14ac:dyDescent="0.25">
      <c r="B41" s="993" t="s">
        <v>1021</v>
      </c>
      <c r="C41" s="1096">
        <f>'Project Costs'!E17</f>
        <v>3742769.7282730746</v>
      </c>
      <c r="D41" s="1096">
        <f>'Project Costs'!F17</f>
        <v>0</v>
      </c>
      <c r="E41" s="1096">
        <f>'Project Costs'!G17</f>
        <v>16842463.777228836</v>
      </c>
      <c r="F41" s="1096">
        <f>'Project Costs'!H17</f>
        <v>16842463.777228836</v>
      </c>
      <c r="G41" s="1096">
        <f>'Project Costs'!I17</f>
        <v>0</v>
      </c>
      <c r="H41" s="1097">
        <f t="shared" si="2"/>
        <v>37427697.282730743</v>
      </c>
    </row>
    <row r="42" spans="2:8" s="682" customFormat="1" ht="12.45" thickBot="1" x14ac:dyDescent="0.25">
      <c r="B42" s="994" t="s">
        <v>1089</v>
      </c>
      <c r="C42" s="1098">
        <f t="shared" ref="C42:H42" si="3">SUM(C38:C41)</f>
        <v>7378880.215584999</v>
      </c>
      <c r="D42" s="1098">
        <f t="shared" si="3"/>
        <v>16857008.219178084</v>
      </c>
      <c r="E42" s="1098">
        <f t="shared" si="3"/>
        <v>22095431.394565463</v>
      </c>
      <c r="F42" s="1098">
        <f t="shared" si="3"/>
        <v>21215492.656635977</v>
      </c>
      <c r="G42" s="1098">
        <f t="shared" si="3"/>
        <v>5912315.6523691891</v>
      </c>
      <c r="H42" s="1098">
        <f t="shared" si="3"/>
        <v>73459128.138333708</v>
      </c>
    </row>
    <row r="43" spans="2:8" s="682" customFormat="1" x14ac:dyDescent="0.2">
      <c r="H43" s="708"/>
    </row>
    <row r="44" spans="2:8" s="682" customFormat="1" x14ac:dyDescent="0.2">
      <c r="H44" s="707" t="b">
        <f>H42=Results!$C$17</f>
        <v>1</v>
      </c>
    </row>
    <row r="45" spans="2:8" s="682" customFormat="1" x14ac:dyDescent="0.2">
      <c r="C45" s="708"/>
    </row>
    <row r="46" spans="2:8" ht="12.45" thickBot="1" x14ac:dyDescent="0.25">
      <c r="B46" s="692" t="s">
        <v>602</v>
      </c>
      <c r="C46" s="682"/>
      <c r="D46" s="682"/>
      <c r="E46" s="682"/>
      <c r="F46" s="682"/>
    </row>
    <row r="47" spans="2:8" ht="12.45" thickBot="1" x14ac:dyDescent="0.25">
      <c r="B47" s="714" t="s">
        <v>584</v>
      </c>
      <c r="C47" s="714" t="s">
        <v>585</v>
      </c>
      <c r="D47" s="714" t="s">
        <v>580</v>
      </c>
      <c r="E47" s="693" t="s">
        <v>586</v>
      </c>
      <c r="F47" s="694" t="s">
        <v>587</v>
      </c>
    </row>
    <row r="48" spans="2:8" ht="38.299999999999997" customHeight="1" thickBot="1" x14ac:dyDescent="0.25">
      <c r="B48" s="1092" t="s">
        <v>603</v>
      </c>
      <c r="C48" s="988" t="s">
        <v>956</v>
      </c>
      <c r="D48" s="989" t="s">
        <v>949</v>
      </c>
      <c r="E48" s="996" t="s">
        <v>588</v>
      </c>
      <c r="F48" s="996"/>
    </row>
    <row r="49" spans="2:6" ht="38.299999999999997" customHeight="1" thickBot="1" x14ac:dyDescent="0.25">
      <c r="B49" s="1185" t="s">
        <v>601</v>
      </c>
      <c r="C49" s="990" t="s">
        <v>951</v>
      </c>
      <c r="D49" s="991" t="s">
        <v>1043</v>
      </c>
      <c r="E49" s="997" t="s">
        <v>588</v>
      </c>
      <c r="F49" s="997"/>
    </row>
    <row r="50" spans="2:6" ht="47.3" customHeight="1" thickBot="1" x14ac:dyDescent="0.25">
      <c r="B50" s="1186"/>
      <c r="C50" s="990" t="s">
        <v>575</v>
      </c>
      <c r="D50" s="991" t="s">
        <v>1044</v>
      </c>
      <c r="E50" s="997" t="s">
        <v>588</v>
      </c>
      <c r="F50" s="997"/>
    </row>
    <row r="51" spans="2:6" ht="47.3" customHeight="1" thickBot="1" x14ac:dyDescent="0.25">
      <c r="B51" s="1185" t="s">
        <v>957</v>
      </c>
      <c r="C51" s="988" t="s">
        <v>1047</v>
      </c>
      <c r="D51" s="989" t="s">
        <v>1045</v>
      </c>
      <c r="E51" s="997" t="s">
        <v>588</v>
      </c>
      <c r="F51" s="997"/>
    </row>
    <row r="52" spans="2:6" ht="47.3" customHeight="1" thickBot="1" x14ac:dyDescent="0.25">
      <c r="B52" s="1190"/>
      <c r="C52" s="1181" t="s">
        <v>1048</v>
      </c>
      <c r="D52" s="991" t="s">
        <v>1049</v>
      </c>
      <c r="E52" s="997" t="s">
        <v>588</v>
      </c>
      <c r="F52" s="997"/>
    </row>
    <row r="53" spans="2:6" ht="47.3" customHeight="1" thickBot="1" x14ac:dyDescent="0.25">
      <c r="B53" s="1190"/>
      <c r="C53" s="1182"/>
      <c r="D53" s="991" t="s">
        <v>1050</v>
      </c>
      <c r="E53" s="997" t="s">
        <v>588</v>
      </c>
      <c r="F53" s="997"/>
    </row>
    <row r="54" spans="2:6" ht="47.8" thickBot="1" x14ac:dyDescent="0.25">
      <c r="B54" s="1190"/>
      <c r="C54" s="1082" t="s">
        <v>922</v>
      </c>
      <c r="D54" s="991" t="s">
        <v>952</v>
      </c>
      <c r="E54" s="997" t="s">
        <v>588</v>
      </c>
      <c r="F54" s="997"/>
    </row>
    <row r="55" spans="2:6" ht="47.8" thickBot="1" x14ac:dyDescent="0.25">
      <c r="B55" s="1190"/>
      <c r="C55" s="988" t="s">
        <v>921</v>
      </c>
      <c r="D55" s="989" t="s">
        <v>1099</v>
      </c>
      <c r="E55" s="997" t="s">
        <v>588</v>
      </c>
      <c r="F55" s="997"/>
    </row>
    <row r="56" spans="2:6" ht="71.349999999999994" thickBot="1" x14ac:dyDescent="0.25">
      <c r="B56" s="1190"/>
      <c r="C56" s="1091" t="s">
        <v>1095</v>
      </c>
      <c r="D56" s="991" t="s">
        <v>1096</v>
      </c>
      <c r="E56" s="997"/>
      <c r="F56" s="997" t="s">
        <v>588</v>
      </c>
    </row>
    <row r="57" spans="2:6" ht="94.95" thickBot="1" x14ac:dyDescent="0.25">
      <c r="B57" s="1186"/>
      <c r="C57" s="988" t="s">
        <v>1097</v>
      </c>
      <c r="D57" s="989" t="s">
        <v>1098</v>
      </c>
      <c r="E57" s="997"/>
      <c r="F57" s="997" t="s">
        <v>588</v>
      </c>
    </row>
    <row r="58" spans="2:6" ht="47.8" thickBot="1" x14ac:dyDescent="0.25">
      <c r="B58" s="1000" t="s">
        <v>958</v>
      </c>
      <c r="C58" s="990" t="s">
        <v>923</v>
      </c>
      <c r="D58" s="991" t="s">
        <v>953</v>
      </c>
      <c r="E58" s="997" t="s">
        <v>588</v>
      </c>
      <c r="F58" s="997"/>
    </row>
    <row r="60" spans="2:6" ht="12.45" thickBot="1" x14ac:dyDescent="0.25">
      <c r="B60" s="696" t="s">
        <v>597</v>
      </c>
      <c r="C60" s="697"/>
      <c r="D60" s="697"/>
      <c r="E60" s="697"/>
    </row>
    <row r="61" spans="2:6" ht="12.45" thickBot="1" x14ac:dyDescent="0.25">
      <c r="B61" s="717" t="s">
        <v>589</v>
      </c>
      <c r="C61" s="698" t="s">
        <v>0</v>
      </c>
      <c r="D61" s="699" t="s">
        <v>1</v>
      </c>
      <c r="E61" s="713" t="s">
        <v>2</v>
      </c>
    </row>
    <row r="62" spans="2:6" ht="12.45" thickBot="1" x14ac:dyDescent="0.25">
      <c r="B62" s="700" t="s">
        <v>590</v>
      </c>
      <c r="C62" s="712" t="s">
        <v>4</v>
      </c>
      <c r="D62" s="701">
        <f>Assumptions!D9</f>
        <v>7.0000000000000007E-2</v>
      </c>
      <c r="E62" s="702" t="str">
        <f>Assumptions!E9</f>
        <v xml:space="preserve">USDOT BCA Guidance </v>
      </c>
    </row>
    <row r="63" spans="2:6" ht="36" thickBot="1" x14ac:dyDescent="0.25">
      <c r="B63" s="700" t="s">
        <v>591</v>
      </c>
      <c r="C63" s="712" t="s">
        <v>9</v>
      </c>
      <c r="D63" s="709">
        <f>Assumptions!$D$10</f>
        <v>2018</v>
      </c>
      <c r="E63" s="710" t="str">
        <f>Assumptions!E10</f>
        <v>Year to which all cash flows are discounted for the NPV</v>
      </c>
    </row>
    <row r="64" spans="2:6" ht="24.25" thickBot="1" x14ac:dyDescent="0.25">
      <c r="B64" s="700" t="s">
        <v>592</v>
      </c>
      <c r="C64" s="712" t="s">
        <v>9</v>
      </c>
      <c r="D64" s="703" t="str">
        <f>CONCATENATE(Assumptions!$D$22," - ",Assumptions!D$23)</f>
        <v>2020 - 2024</v>
      </c>
      <c r="E64" s="710" t="str">
        <f>Assumptions!E22</f>
        <v xml:space="preserve">According to Project Schedule </v>
      </c>
    </row>
    <row r="65" spans="2:5" ht="24.25" thickBot="1" x14ac:dyDescent="0.25">
      <c r="B65" s="700" t="s">
        <v>593</v>
      </c>
      <c r="C65" s="712" t="s">
        <v>9</v>
      </c>
      <c r="D65" s="709">
        <f>Assumptions!$D$16</f>
        <v>2025</v>
      </c>
      <c r="E65" s="710" t="str">
        <f>Assumptions!E16</f>
        <v xml:space="preserve">According to Project Schedule </v>
      </c>
    </row>
    <row r="66" spans="2:5" ht="24.25" thickBot="1" x14ac:dyDescent="0.25">
      <c r="B66" s="700" t="s">
        <v>594</v>
      </c>
      <c r="C66" s="712" t="s">
        <v>5</v>
      </c>
      <c r="D66" s="704">
        <f>Assumptions!$D$17</f>
        <v>30</v>
      </c>
      <c r="E66" s="711" t="str">
        <f>Assumptions!E17</f>
        <v>Assume 30 years of benefits</v>
      </c>
    </row>
    <row r="67" spans="2:5" ht="12.45" thickBot="1" x14ac:dyDescent="0.25">
      <c r="B67" s="700" t="s">
        <v>604</v>
      </c>
      <c r="C67" s="712" t="s">
        <v>9</v>
      </c>
      <c r="D67" s="709">
        <f>Assumptions!$D$18</f>
        <v>2054</v>
      </c>
      <c r="E67" s="711" t="str">
        <f>Assumptions!E18</f>
        <v xml:space="preserve">Calculated Value </v>
      </c>
    </row>
    <row r="68" spans="2:5" ht="12.45" thickBot="1" x14ac:dyDescent="0.25">
      <c r="B68" s="700" t="s">
        <v>595</v>
      </c>
      <c r="C68" s="712" t="s">
        <v>596</v>
      </c>
      <c r="D68" s="704">
        <f>grams_ton</f>
        <v>907185</v>
      </c>
      <c r="E68" s="1197" t="str">
        <f>Assumptions!E5</f>
        <v>Known</v>
      </c>
    </row>
    <row r="69" spans="2:5" ht="15.05" customHeight="1" thickBot="1" x14ac:dyDescent="0.25">
      <c r="B69" s="700" t="s">
        <v>697</v>
      </c>
      <c r="C69" s="712" t="s">
        <v>698</v>
      </c>
      <c r="D69" s="704">
        <f>Assumptions!$D$6</f>
        <v>5280</v>
      </c>
      <c r="E69" s="1198"/>
    </row>
    <row r="70" spans="2:5" ht="15.05" customHeight="1" thickBot="1" x14ac:dyDescent="0.25">
      <c r="B70" s="700" t="s">
        <v>727</v>
      </c>
      <c r="C70" s="712" t="s">
        <v>712</v>
      </c>
      <c r="D70" s="704">
        <f>days_year</f>
        <v>365</v>
      </c>
      <c r="E70" s="1198"/>
    </row>
    <row r="71" spans="2:5" ht="15.05" customHeight="1" thickBot="1" x14ac:dyDescent="0.25">
      <c r="B71" s="700" t="s">
        <v>752</v>
      </c>
      <c r="C71" s="712" t="s">
        <v>753</v>
      </c>
      <c r="D71" s="704">
        <f>hours_day</f>
        <v>24</v>
      </c>
      <c r="E71" s="1199"/>
    </row>
    <row r="72" spans="2:5" x14ac:dyDescent="0.2">
      <c r="B72" s="942"/>
      <c r="C72" s="943"/>
      <c r="D72" s="944"/>
      <c r="E72" s="945"/>
    </row>
    <row r="73" spans="2:5" x14ac:dyDescent="0.2">
      <c r="B73" s="942"/>
      <c r="C73" s="943"/>
      <c r="D73" s="944"/>
      <c r="E73" s="945"/>
    </row>
    <row r="74" spans="2:5" ht="12.45" thickBot="1" x14ac:dyDescent="0.25">
      <c r="B74" s="692" t="s">
        <v>1145</v>
      </c>
    </row>
    <row r="75" spans="2:5" ht="12.45" thickBot="1" x14ac:dyDescent="0.25">
      <c r="B75" s="717" t="s">
        <v>589</v>
      </c>
      <c r="C75" s="698" t="s">
        <v>0</v>
      </c>
      <c r="D75" s="699" t="s">
        <v>1</v>
      </c>
      <c r="E75" s="713" t="s">
        <v>2</v>
      </c>
    </row>
    <row r="76" spans="2:5" ht="15.05" customHeight="1" thickBot="1" x14ac:dyDescent="0.25">
      <c r="B76" s="1176" t="s">
        <v>1118</v>
      </c>
      <c r="C76" s="1177"/>
      <c r="D76" s="1177"/>
      <c r="E76" s="1178"/>
    </row>
    <row r="77" spans="2:5" ht="23.25" customHeight="1" thickBot="1" x14ac:dyDescent="0.25">
      <c r="B77" s="706" t="s">
        <v>764</v>
      </c>
      <c r="C77" s="712" t="s">
        <v>705</v>
      </c>
      <c r="D77" s="946">
        <f>Assumptions!$D$32</f>
        <v>15</v>
      </c>
      <c r="E77" s="706" t="str">
        <f>Assumptions!$E$32</f>
        <v>Assumed value.</v>
      </c>
    </row>
    <row r="78" spans="2:5" ht="15.05" customHeight="1" thickBot="1" x14ac:dyDescent="0.25">
      <c r="B78" s="706" t="s">
        <v>1119</v>
      </c>
      <c r="C78" s="712" t="s">
        <v>693</v>
      </c>
      <c r="D78" s="715">
        <f>Assumptions!$D$42</f>
        <v>9000</v>
      </c>
      <c r="E78" s="706" t="str">
        <f>Assumptions!$E$42</f>
        <v>National Bridge Inventory and NDDOT data.</v>
      </c>
    </row>
    <row r="79" spans="2:5" ht="15.05" customHeight="1" thickBot="1" x14ac:dyDescent="0.25">
      <c r="B79" s="706" t="s">
        <v>1120</v>
      </c>
      <c r="C79" s="712" t="s">
        <v>693</v>
      </c>
      <c r="D79" s="715">
        <f>Assumptions!$D$43</f>
        <v>9500</v>
      </c>
      <c r="E79" s="706" t="str">
        <f>Assumptions!$E$43</f>
        <v>National Bridge Inventory.</v>
      </c>
    </row>
    <row r="80" spans="2:5" ht="15.05" customHeight="1" thickBot="1" x14ac:dyDescent="0.25">
      <c r="B80" s="706" t="s">
        <v>696</v>
      </c>
      <c r="C80" s="712" t="s">
        <v>4</v>
      </c>
      <c r="D80" s="716">
        <f>Assumptions!$D$44</f>
        <v>0.01</v>
      </c>
      <c r="E80" s="947" t="str">
        <f>Assumptions!$E$44</f>
        <v>National Bridge Inventory and NDDOT data.</v>
      </c>
    </row>
    <row r="81" spans="2:5" ht="15.05" customHeight="1" thickBot="1" x14ac:dyDescent="0.25">
      <c r="B81" s="706" t="s">
        <v>699</v>
      </c>
      <c r="C81" s="712" t="s">
        <v>700</v>
      </c>
      <c r="D81" s="715">
        <f>Assumptions!$D$45</f>
        <v>912</v>
      </c>
      <c r="E81" s="947" t="str">
        <f>Assumptions!$E$45</f>
        <v>National Bridge Inventory provides structure length of the roadway bridge.</v>
      </c>
    </row>
    <row r="82" spans="2:5" ht="15.05" customHeight="1" thickBot="1" x14ac:dyDescent="0.25">
      <c r="B82" s="706" t="s">
        <v>747</v>
      </c>
      <c r="C82" s="712" t="s">
        <v>14</v>
      </c>
      <c r="D82" s="715">
        <f>Assumptions!$D$46</f>
        <v>3</v>
      </c>
      <c r="E82" s="947" t="str">
        <f>Assumptions!$E$46</f>
        <v>NBI Inventory provides info on detour length in miles for the case when bridge is closed. It is assumed the detour length is the same in the case of a flooding event.</v>
      </c>
    </row>
    <row r="83" spans="2:5" ht="15.05" customHeight="1" thickBot="1" x14ac:dyDescent="0.25">
      <c r="B83" s="706" t="s">
        <v>907</v>
      </c>
      <c r="C83" s="712" t="s">
        <v>703</v>
      </c>
      <c r="D83" s="715">
        <f>Assumptions!$D$48</f>
        <v>25</v>
      </c>
      <c r="E83" s="948" t="str">
        <f>Assumptions!$E$48</f>
        <v>Speed Limit for 3rd St NE Bridge</v>
      </c>
    </row>
    <row r="84" spans="2:5" ht="15.05" customHeight="1" thickBot="1" x14ac:dyDescent="0.25">
      <c r="B84" s="706" t="s">
        <v>908</v>
      </c>
      <c r="C84" s="712" t="s">
        <v>703</v>
      </c>
      <c r="D84" s="715">
        <f>Assumptions!$D$49</f>
        <v>30</v>
      </c>
      <c r="E84" s="948" t="str">
        <f>Assumptions!$E$49</f>
        <v>Speed Limit for N Broadway Road</v>
      </c>
    </row>
    <row r="85" spans="2:5" ht="15.05" customHeight="1" thickBot="1" x14ac:dyDescent="0.25">
      <c r="B85" s="1176" t="s">
        <v>751</v>
      </c>
      <c r="C85" s="1177"/>
      <c r="D85" s="1177"/>
      <c r="E85" s="1178"/>
    </row>
    <row r="86" spans="2:5" ht="29.3" customHeight="1" thickBot="1" x14ac:dyDescent="0.25">
      <c r="B86" s="706" t="s">
        <v>852</v>
      </c>
      <c r="C86" s="712" t="s">
        <v>705</v>
      </c>
      <c r="D86" s="946">
        <f>Assumptions!$D$35</f>
        <v>22</v>
      </c>
      <c r="E86" s="706" t="str">
        <f>Assumptions!$E$35</f>
        <v>Based on news reports, BNSF suspended service on June 24 and reopened both tracks by July 6, 2011. However delays continued for at least another week.</v>
      </c>
    </row>
    <row r="87" spans="2:5" ht="27" customHeight="1" thickBot="1" x14ac:dyDescent="0.25">
      <c r="B87" s="706" t="s">
        <v>906</v>
      </c>
      <c r="C87" s="712" t="s">
        <v>705</v>
      </c>
      <c r="D87" s="946">
        <f>Assumptions!$D$36</f>
        <v>45</v>
      </c>
      <c r="E87" s="706" t="str">
        <f>Assumptions!$E$36</f>
        <v>Based on news reports, Amtrak suspended services on June 1, 2011 and resumed operations in mid-July 2011</v>
      </c>
    </row>
    <row r="88" spans="2:5" ht="28.5" customHeight="1" thickBot="1" x14ac:dyDescent="0.25">
      <c r="B88" s="706" t="s">
        <v>940</v>
      </c>
      <c r="C88" s="712" t="s">
        <v>705</v>
      </c>
      <c r="D88" s="946">
        <f>Assumptions!$D$37</f>
        <v>120</v>
      </c>
      <c r="E88" s="706" t="str">
        <f>Assumptions!$E$37</f>
        <v>Based on news reports, Amtrak station in Minot was closed until mid-November to complete repairs to the building and platform. Passengers in Minot could not obtain service.</v>
      </c>
    </row>
    <row r="89" spans="2:5" ht="30.8" customHeight="1" thickBot="1" x14ac:dyDescent="0.25">
      <c r="B89" s="706" t="s">
        <v>909</v>
      </c>
      <c r="C89" s="712" t="s">
        <v>712</v>
      </c>
      <c r="D89" s="946">
        <f>Assumptions!$D$57</f>
        <v>365</v>
      </c>
      <c r="E89" s="706" t="str">
        <f>Assumptions!$E$57</f>
        <v>Assumed</v>
      </c>
    </row>
    <row r="90" spans="2:5" ht="30.8" customHeight="1" thickBot="1" x14ac:dyDescent="0.25">
      <c r="B90" s="706" t="s">
        <v>1079</v>
      </c>
      <c r="C90" s="712" t="s">
        <v>708</v>
      </c>
      <c r="D90" s="946">
        <f>Assumptions!$D$59</f>
        <v>29.6</v>
      </c>
      <c r="E90" s="1179" t="str">
        <f>Assumptions!E59</f>
        <v xml:space="preserve">North Dakota DOT, 2040 North Dakota State Rail Plan, 2017. Calculated through, inbound, outbound and intra freight rail composition based on North Dakota rail traffic as follows: 48% through trains, 48% outbound trains, 8% inbound trains and 3% intra trains. Assumed through trains and 50% of the rest of the traffic will be rerouted, 50% of the rest of the traffic will be cancelled during a flooding event. </v>
      </c>
    </row>
    <row r="91" spans="2:5" ht="30.8" customHeight="1" thickBot="1" x14ac:dyDescent="0.25">
      <c r="B91" s="706" t="s">
        <v>1080</v>
      </c>
      <c r="C91" s="712" t="s">
        <v>708</v>
      </c>
      <c r="D91" s="946">
        <f>Assumptions!$D$60</f>
        <v>10.4</v>
      </c>
      <c r="E91" s="1180"/>
    </row>
    <row r="92" spans="2:5" ht="47.8" thickBot="1" x14ac:dyDescent="0.25">
      <c r="B92" s="706" t="s">
        <v>910</v>
      </c>
      <c r="C92" s="712" t="s">
        <v>4</v>
      </c>
      <c r="D92" s="701">
        <f>Assumptions!$D$61</f>
        <v>0.01</v>
      </c>
      <c r="E92" s="948" t="str">
        <f>Assumptions!$E$61</f>
        <v>ND State Rail Plan document retrieved data from FAF which supports this assumption.</v>
      </c>
    </row>
    <row r="93" spans="2:5" ht="29.3" customHeight="1" thickBot="1" x14ac:dyDescent="0.25">
      <c r="B93" s="706" t="s">
        <v>1061</v>
      </c>
      <c r="C93" s="712" t="s">
        <v>14</v>
      </c>
      <c r="D93" s="946">
        <f>Assumptions!$D$62</f>
        <v>400</v>
      </c>
      <c r="E93" s="948" t="str">
        <f>Assumptions!$E$62</f>
        <v>Assumed. Given the current network density, some train trips may require long detours with significant impact on total trip length and causing significant delays throughout the network.</v>
      </c>
    </row>
    <row r="94" spans="2:5" ht="59.6" thickBot="1" x14ac:dyDescent="0.25">
      <c r="B94" s="706" t="s">
        <v>709</v>
      </c>
      <c r="C94" s="712" t="s">
        <v>703</v>
      </c>
      <c r="D94" s="946">
        <f>Assumptions!$D$63</f>
        <v>20</v>
      </c>
      <c r="E94" s="948" t="str">
        <f>Assumptions!$E$63</f>
        <v xml:space="preserve">Assumed. Operating speeds on the remaining network may be reduced due to increased congestion. </v>
      </c>
    </row>
    <row r="95" spans="2:5" ht="21.8" customHeight="1" thickBot="1" x14ac:dyDescent="0.25">
      <c r="B95" s="706" t="s">
        <v>741</v>
      </c>
      <c r="C95" s="712" t="s">
        <v>742</v>
      </c>
      <c r="D95" s="1002">
        <f>Assumptions!$D$65</f>
        <v>50</v>
      </c>
      <c r="E95" s="948" t="str">
        <f>Assumptions!$E$65</f>
        <v>2040 North Dakota State Rail Plan, BNSF Statistics. Adjusted for empty returning train hauls.</v>
      </c>
    </row>
    <row r="96" spans="2:5" ht="19.5" customHeight="1" thickBot="1" x14ac:dyDescent="0.25">
      <c r="B96" s="706" t="s">
        <v>743</v>
      </c>
      <c r="C96" s="712" t="s">
        <v>744</v>
      </c>
      <c r="D96" s="946">
        <f>Assumptions!$D$66</f>
        <v>100</v>
      </c>
      <c r="E96" s="948" t="str">
        <f>Assumptions!$E$66</f>
        <v>Based on industry experience regarding trains operating in the area.</v>
      </c>
    </row>
    <row r="97" spans="2:6" ht="12.45" thickBot="1" x14ac:dyDescent="0.25">
      <c r="B97" s="706" t="s">
        <v>711</v>
      </c>
      <c r="C97" s="712" t="s">
        <v>712</v>
      </c>
      <c r="D97" s="946">
        <f>Assumptions!D71</f>
        <v>365</v>
      </c>
      <c r="E97" s="948" t="str">
        <f>Assumptions!E71</f>
        <v>Assumed</v>
      </c>
    </row>
    <row r="98" spans="2:6" ht="14.25" customHeight="1" thickBot="1" x14ac:dyDescent="0.25">
      <c r="B98" s="706" t="s">
        <v>749</v>
      </c>
      <c r="C98" s="712" t="s">
        <v>4</v>
      </c>
      <c r="D98" s="701">
        <f>Assumptions!D72</f>
        <v>0</v>
      </c>
      <c r="E98" s="948" t="str">
        <f>Assumptions!E72</f>
        <v>Assumed no growth in passenger volumes</v>
      </c>
    </row>
    <row r="99" spans="2:6" ht="31.75" customHeight="1" thickBot="1" x14ac:dyDescent="0.25">
      <c r="B99" s="706" t="s">
        <v>1062</v>
      </c>
      <c r="C99" s="712" t="s">
        <v>858</v>
      </c>
      <c r="D99" s="946">
        <f>Assumptions!D73</f>
        <v>199387</v>
      </c>
      <c r="E99" s="948" t="str">
        <f>Assumptions!E73</f>
        <v>Based on news reports Amtrak cancelled services between St Paul and Spokane after the flooding event in 2011. Amtrak 2018 statistics show passengers boarding or detraining in ND of 103,200 and 88,599 who were boarding and detraining outside the state. In Montana there were some additional passengers increasing total number of passengers affected: 121,400 that were boarding/detraining in Montana and 77,987 that were boarding detraining in other states.</v>
      </c>
    </row>
    <row r="100" spans="2:6" ht="26.2" customHeight="1" thickBot="1" x14ac:dyDescent="0.25">
      <c r="B100" s="706" t="s">
        <v>1063</v>
      </c>
      <c r="C100" s="712" t="s">
        <v>858</v>
      </c>
      <c r="D100" s="946">
        <f>Assumptions!D74</f>
        <v>29531</v>
      </c>
      <c r="E100" s="948" t="str">
        <f>Assumptions!E74</f>
        <v>Based on 2018 Amtrak  ridership for Minot.</v>
      </c>
    </row>
    <row r="102" spans="2:6" ht="12.45" thickBot="1" x14ac:dyDescent="0.25">
      <c r="B102" s="692" t="s">
        <v>1101</v>
      </c>
      <c r="C102" s="705"/>
      <c r="D102" s="682"/>
      <c r="E102" s="705"/>
      <c r="F102" s="682"/>
    </row>
    <row r="103" spans="2:6" ht="25.55" customHeight="1" thickBot="1" x14ac:dyDescent="0.25">
      <c r="B103" s="1004" t="s">
        <v>598</v>
      </c>
      <c r="C103" s="681" t="s">
        <v>0</v>
      </c>
      <c r="D103" s="681" t="s">
        <v>1102</v>
      </c>
      <c r="E103" s="681">
        <v>2040</v>
      </c>
      <c r="F103" s="681">
        <v>2050</v>
      </c>
    </row>
    <row r="104" spans="2:6" ht="24.25" thickBot="1" x14ac:dyDescent="0.25">
      <c r="B104" s="1093" t="s">
        <v>1103</v>
      </c>
      <c r="C104" s="1005" t="s">
        <v>1081</v>
      </c>
      <c r="D104" s="1006">
        <f>'Demand Forecast'!M15</f>
        <v>92</v>
      </c>
      <c r="E104" s="1006">
        <f>'Demand Forecast'!AB13</f>
        <v>9575</v>
      </c>
      <c r="F104" s="1006">
        <f>'Demand Forecast'!AL13</f>
        <v>9825</v>
      </c>
    </row>
    <row r="105" spans="2:6" ht="24.25" thickBot="1" x14ac:dyDescent="0.25">
      <c r="B105" s="1093" t="s">
        <v>1104</v>
      </c>
      <c r="C105" s="1005" t="s">
        <v>708</v>
      </c>
      <c r="D105" s="1006">
        <f>'Demand Forecast'!M38</f>
        <v>42.885414084280399</v>
      </c>
      <c r="E105" s="1006">
        <f>'Demand Forecast'!AB38</f>
        <v>49.788634390036862</v>
      </c>
      <c r="F105" s="1006">
        <f>'Demand Forecast'!AL38</f>
        <v>54.997627141243903</v>
      </c>
    </row>
    <row r="106" spans="2:6" ht="24.25" thickBot="1" x14ac:dyDescent="0.25">
      <c r="B106" s="1093" t="s">
        <v>1105</v>
      </c>
      <c r="C106" s="1005" t="s">
        <v>970</v>
      </c>
      <c r="D106" s="1006">
        <f>'Demand Forecast'!M53+'Demand Forecast'!M57</f>
        <v>627.17260273972602</v>
      </c>
      <c r="E106" s="1006">
        <f>'Demand Forecast'!AB53+'Demand Forecast'!AC57</f>
        <v>627.17260273972602</v>
      </c>
      <c r="F106" s="1006">
        <f>'Demand Forecast'!AL53+'Demand Forecast'!AL57</f>
        <v>627.17260273972602</v>
      </c>
    </row>
    <row r="107" spans="2:6" ht="36" thickBot="1" x14ac:dyDescent="0.25">
      <c r="B107" s="1093" t="s">
        <v>1106</v>
      </c>
      <c r="C107" s="1005" t="s">
        <v>970</v>
      </c>
      <c r="D107" s="1006">
        <f>'Demand Forecast'!K58</f>
        <v>0</v>
      </c>
      <c r="E107" s="1006">
        <f>'Demand Forecast'!AB58</f>
        <v>80.906849315068499</v>
      </c>
      <c r="F107" s="1006">
        <f>'Demand Forecast'!AL58</f>
        <v>80.906849315068499</v>
      </c>
    </row>
    <row r="109" spans="2:6" ht="12.45" thickBot="1" x14ac:dyDescent="0.25">
      <c r="B109" s="686" t="s">
        <v>1100</v>
      </c>
    </row>
    <row r="110" spans="2:6" ht="12.45" thickBot="1" x14ac:dyDescent="0.25">
      <c r="B110" s="714" t="s">
        <v>599</v>
      </c>
      <c r="C110" s="693" t="s">
        <v>0</v>
      </c>
      <c r="D110" s="693" t="s">
        <v>1</v>
      </c>
      <c r="E110" s="966" t="s">
        <v>2</v>
      </c>
    </row>
    <row r="111" spans="2:6" ht="12.45" thickBot="1" x14ac:dyDescent="0.25">
      <c r="B111" s="963" t="s">
        <v>879</v>
      </c>
      <c r="C111" s="712" t="s">
        <v>881</v>
      </c>
      <c r="D111" s="951">
        <f>Assumptions!$D$50</f>
        <v>0.6</v>
      </c>
      <c r="E111" s="1174" t="str">
        <f>Assumptions!$E$50</f>
        <v xml:space="preserve">2014 - 2019 crash data within impacted intersections retrieved from the City of Minot. Average taken to get number of crashes per year. Assume constant crash data over the study period </v>
      </c>
    </row>
    <row r="112" spans="2:6" ht="24.25" thickBot="1" x14ac:dyDescent="0.25">
      <c r="B112" s="963" t="s">
        <v>880</v>
      </c>
      <c r="C112" s="712" t="s">
        <v>881</v>
      </c>
      <c r="D112" s="951">
        <f>Assumptions!$D$51</f>
        <v>3</v>
      </c>
      <c r="E112" s="1175"/>
    </row>
    <row r="113" spans="2:5" ht="31.75" customHeight="1" thickBot="1" x14ac:dyDescent="0.25">
      <c r="B113" s="963" t="s">
        <v>885</v>
      </c>
      <c r="C113" s="712" t="s">
        <v>924</v>
      </c>
      <c r="D113" s="951">
        <f>Assumptions!$D$52</f>
        <v>0.98</v>
      </c>
      <c r="E113" s="953" t="str">
        <f>Assumptions!$E$52</f>
        <v>CMF Clearing House. CMF 9398: widen managed lane envelope.</v>
      </c>
    </row>
    <row r="114" spans="2:5" ht="31.75" customHeight="1" thickBot="1" x14ac:dyDescent="0.25">
      <c r="B114" s="963" t="s">
        <v>875</v>
      </c>
      <c r="C114" s="712" t="s">
        <v>876</v>
      </c>
      <c r="D114" s="951">
        <f>Assumptions!$D$53</f>
        <v>1.5</v>
      </c>
      <c r="E114" s="953" t="str">
        <f>Assumptions!$E$53</f>
        <v>Number of injuries involved divided by total injury crashes, 2014-2019 crash data retrieved from City of Minot</v>
      </c>
    </row>
    <row r="115" spans="2:5" ht="31.75" customHeight="1" thickBot="1" x14ac:dyDescent="0.25">
      <c r="B115" s="963" t="s">
        <v>877</v>
      </c>
      <c r="C115" s="712" t="s">
        <v>878</v>
      </c>
      <c r="D115" s="951">
        <f>Assumptions!$D$54</f>
        <v>1.6</v>
      </c>
      <c r="E115" s="953" t="str">
        <f>Assumptions!$E$54</f>
        <v>Number of cars involved divided by total PDO crashes, 2014-2019 crash data retrieved from City of Minot</v>
      </c>
    </row>
    <row r="116" spans="2:5" ht="31.75" customHeight="1" thickBot="1" x14ac:dyDescent="0.25">
      <c r="B116" s="963" t="s">
        <v>783</v>
      </c>
      <c r="C116" s="712" t="s">
        <v>870</v>
      </c>
      <c r="D116" s="949">
        <f>Assumptions!$D$92</f>
        <v>174000</v>
      </c>
      <c r="E116" s="962" t="str">
        <f>Assumptions!$E$92</f>
        <v>US DOT, BCA Guidance 2018. Based on MAIS Injury Severity Scale and KACBO-AIS Conversion if Injury Unknown. Guidance on Treatment of the Economic Value of a Statistical Life in U.S. Department of Transportation Analyses (2016).</v>
      </c>
    </row>
    <row r="117" spans="2:5" ht="31.75" customHeight="1" thickBot="1" x14ac:dyDescent="0.25">
      <c r="B117" s="963" t="s">
        <v>872</v>
      </c>
      <c r="C117" s="712" t="s">
        <v>873</v>
      </c>
      <c r="D117" s="949">
        <f>Assumptions!$D$93</f>
        <v>4300</v>
      </c>
      <c r="E117" s="962" t="str">
        <f>Assumptions!$E$93</f>
        <v>US DOT, BCA Guidance 2018. The Economic and Societal Impact of Motor Vehicle Crashes, 2010 (revised May 2015), Page 12, Table 1-2, Summary of Unit Costs, 2000. Value inflated to 2017 dollars.</v>
      </c>
    </row>
    <row r="120" spans="2:5" ht="12.45" thickBot="1" x14ac:dyDescent="0.25">
      <c r="B120" s="686" t="s">
        <v>1107</v>
      </c>
    </row>
    <row r="121" spans="2:5" ht="12.45" thickBot="1" x14ac:dyDescent="0.25">
      <c r="B121" s="714" t="s">
        <v>599</v>
      </c>
      <c r="C121" s="693" t="s">
        <v>0</v>
      </c>
      <c r="D121" s="693" t="s">
        <v>1</v>
      </c>
      <c r="E121" s="693" t="s">
        <v>2</v>
      </c>
    </row>
    <row r="122" spans="2:5" ht="12.45" thickBot="1" x14ac:dyDescent="0.25">
      <c r="B122" s="955" t="s">
        <v>912</v>
      </c>
      <c r="C122" s="695" t="s">
        <v>5</v>
      </c>
      <c r="D122" s="695">
        <f>Assumptions!$D$24</f>
        <v>50</v>
      </c>
      <c r="E122" s="955" t="str">
        <f>Assumptions!$E$24</f>
        <v xml:space="preserve">Assumed </v>
      </c>
    </row>
    <row r="123" spans="2:5" ht="12.45" thickBot="1" x14ac:dyDescent="0.25">
      <c r="B123" s="955" t="s">
        <v>1030</v>
      </c>
      <c r="C123" s="695" t="s">
        <v>5</v>
      </c>
      <c r="D123" s="695">
        <f>Assumptions!$D$28</f>
        <v>50</v>
      </c>
      <c r="E123" s="956" t="str">
        <f>Assumptions!$E$28</f>
        <v xml:space="preserve">Assumed </v>
      </c>
    </row>
    <row r="124" spans="2:5" ht="25.55" customHeight="1" thickBot="1" x14ac:dyDescent="0.25">
      <c r="B124" s="955" t="s">
        <v>913</v>
      </c>
      <c r="C124" s="954" t="s">
        <v>12</v>
      </c>
      <c r="D124" s="958">
        <f>Assumptions!D34</f>
        <v>27337710.000000004</v>
      </c>
      <c r="E124" s="957" t="str">
        <f>Assumptions!E34</f>
        <v>Assumed value. Based on Amtrak Fact Sheet 2011 for North Dakota, the costs to restore segments of BNSF tracks amounted to $20 million. Amtrak spent about $4.9 million to restore station building and platform in Minot.  Inflated to 2017 dollars.</v>
      </c>
    </row>
    <row r="126" spans="2:5" ht="12.45" thickBot="1" x14ac:dyDescent="0.25">
      <c r="B126" s="686" t="s">
        <v>1108</v>
      </c>
    </row>
    <row r="127" spans="2:5" ht="12.45" thickBot="1" x14ac:dyDescent="0.25">
      <c r="B127" s="714" t="s">
        <v>599</v>
      </c>
      <c r="C127" s="693" t="s">
        <v>0</v>
      </c>
      <c r="D127" s="693" t="s">
        <v>1</v>
      </c>
      <c r="E127" s="714" t="s">
        <v>2</v>
      </c>
    </row>
    <row r="128" spans="2:5" ht="33.75" customHeight="1" thickBot="1" x14ac:dyDescent="0.25">
      <c r="B128" s="963" t="s">
        <v>911</v>
      </c>
      <c r="C128" s="712" t="s">
        <v>797</v>
      </c>
      <c r="D128" s="949">
        <f>Assumptions!$D$67</f>
        <v>591.66688561423859</v>
      </c>
      <c r="E128" s="950" t="str">
        <f>Assumptions!$E$67</f>
        <v>Estimated cost of freight train delay by AAR. $175/hour for locomotives, $146 for freight cars and $284/hour for locomotive crew, based on Class I railroad average for 2018. Value de-escalated to 2017$.</v>
      </c>
    </row>
    <row r="129" spans="2:5" ht="30.8" customHeight="1" thickBot="1" x14ac:dyDescent="0.25">
      <c r="B129" s="963" t="s">
        <v>865</v>
      </c>
      <c r="C129" s="712" t="s">
        <v>856</v>
      </c>
      <c r="D129" s="949">
        <f>Assumptions!$D$69</f>
        <v>693.46410958904107</v>
      </c>
      <c r="E129" s="950" t="str">
        <f>Assumptions!$E$69</f>
        <v>Calculated as the daily opportunity cost of train payload value based on a 10% rate.</v>
      </c>
    </row>
    <row r="130" spans="2:5" ht="24.75" customHeight="1" thickBot="1" x14ac:dyDescent="0.25">
      <c r="B130" s="700" t="s">
        <v>1109</v>
      </c>
      <c r="C130" s="712" t="s">
        <v>724</v>
      </c>
      <c r="D130" s="946">
        <f>Assumptions!D64</f>
        <v>20</v>
      </c>
      <c r="E130" s="1086" t="str">
        <f>Assumptions!E64</f>
        <v>Calculated Value given assumed incremental detour length and travel speed.</v>
      </c>
    </row>
    <row r="132" spans="2:5" ht="12.45" thickBot="1" x14ac:dyDescent="0.25">
      <c r="B132" s="686" t="s">
        <v>1110</v>
      </c>
    </row>
    <row r="133" spans="2:5" ht="12.45" thickBot="1" x14ac:dyDescent="0.25">
      <c r="B133" s="714" t="s">
        <v>599</v>
      </c>
      <c r="C133" s="693" t="s">
        <v>0</v>
      </c>
      <c r="D133" s="693" t="s">
        <v>1</v>
      </c>
      <c r="E133" s="693" t="s">
        <v>2</v>
      </c>
    </row>
    <row r="134" spans="2:5" ht="24.25" thickBot="1" x14ac:dyDescent="0.25">
      <c r="B134" s="967" t="s">
        <v>929</v>
      </c>
      <c r="C134" s="712" t="s">
        <v>12</v>
      </c>
      <c r="D134" s="949">
        <f>Assumptions!$D$77</f>
        <v>170.59953827329883</v>
      </c>
      <c r="E134" s="968" t="str">
        <f>Assumptions!$E$77</f>
        <v>Calculated value.</v>
      </c>
    </row>
    <row r="135" spans="2:5" ht="24.25" thickBot="1" x14ac:dyDescent="0.25">
      <c r="B135" s="967" t="s">
        <v>930</v>
      </c>
      <c r="C135" s="712" t="s">
        <v>14</v>
      </c>
      <c r="D135" s="949">
        <f>Assumptions!$D$78</f>
        <v>54</v>
      </c>
      <c r="E135" s="968" t="str">
        <f>Assumptions!$E$78</f>
        <v>Based on Amtrak passenger train schedule</v>
      </c>
    </row>
    <row r="136" spans="2:5" ht="25.55" customHeight="1" thickBot="1" x14ac:dyDescent="0.25">
      <c r="B136" s="967" t="s">
        <v>931</v>
      </c>
      <c r="C136" s="712" t="s">
        <v>904</v>
      </c>
      <c r="D136" s="951">
        <f>Assumptions!$D$79</f>
        <v>1</v>
      </c>
      <c r="E136" s="968" t="str">
        <f>Assumptions!$E$79</f>
        <v>Assumed based Google maps driving directions</v>
      </c>
    </row>
    <row r="137" spans="2:5" ht="24.05" customHeight="1" thickBot="1" x14ac:dyDescent="0.25">
      <c r="B137" s="706" t="s">
        <v>932</v>
      </c>
      <c r="C137" s="712" t="s">
        <v>926</v>
      </c>
      <c r="D137" s="949">
        <f>Assumptions!$D$80</f>
        <v>33.215714285714284</v>
      </c>
      <c r="E137" s="968" t="str">
        <f>Assumptions!$E$80</f>
        <v>Calculated value.</v>
      </c>
    </row>
    <row r="138" spans="2:5" ht="27" customHeight="1" thickBot="1" x14ac:dyDescent="0.25">
      <c r="B138" s="967" t="s">
        <v>767</v>
      </c>
      <c r="C138" s="712" t="s">
        <v>768</v>
      </c>
      <c r="D138" s="949">
        <f>Assumptions!$D$68</f>
        <v>506.22880000000004</v>
      </c>
      <c r="E138" s="968" t="str">
        <f>Assumptions!$E$68</f>
        <v>FAF shipment values for within, outbound and inbound U.S. states, 2017. Average of domestic, import and export shipment values within outbound and inbound of Minot, ND chosen.</v>
      </c>
    </row>
    <row r="140" spans="2:5" ht="12.45" thickBot="1" x14ac:dyDescent="0.25">
      <c r="B140" s="686" t="s">
        <v>1111</v>
      </c>
    </row>
    <row r="141" spans="2:5" ht="12.45" thickBot="1" x14ac:dyDescent="0.25">
      <c r="B141" s="714" t="s">
        <v>599</v>
      </c>
      <c r="C141" s="693" t="s">
        <v>0</v>
      </c>
      <c r="D141" s="693" t="s">
        <v>1</v>
      </c>
      <c r="E141" s="693" t="s">
        <v>2</v>
      </c>
    </row>
    <row r="142" spans="2:5" ht="36" customHeight="1" thickBot="1" x14ac:dyDescent="0.25">
      <c r="B142" s="706" t="s">
        <v>829</v>
      </c>
      <c r="C142" s="712" t="s">
        <v>780</v>
      </c>
      <c r="D142" s="952">
        <f>Assumptions!$D$90</f>
        <v>0.39</v>
      </c>
      <c r="E142" s="953" t="str">
        <f>Assumptions!$E$90</f>
        <v>US DOT, 2018 BCA Guidance on recommended vehicle operating costs per mile for light duty vehicles. American Automobile Association, Your Driving Costs - 2017 Edition.</v>
      </c>
    </row>
    <row r="143" spans="2:5" ht="33.049999999999997" customHeight="1" thickBot="1" x14ac:dyDescent="0.25">
      <c r="B143" s="706" t="s">
        <v>830</v>
      </c>
      <c r="C143" s="712" t="s">
        <v>780</v>
      </c>
      <c r="D143" s="952">
        <f>Assumptions!$D$91</f>
        <v>0.9</v>
      </c>
      <c r="E143" s="953" t="str">
        <f>Assumptions!$E$91</f>
        <v xml:space="preserve">US DOT, 2018 BCA Guidance on recommended vehicle operating costs per mile for commercial trucks. American Transportation Research Institute, An Analysis of the Operational Costs of Trucking: 2017 Update. </v>
      </c>
    </row>
    <row r="146" spans="2:5" ht="12.45" thickBot="1" x14ac:dyDescent="0.25">
      <c r="B146" s="686" t="s">
        <v>1112</v>
      </c>
    </row>
    <row r="147" spans="2:5" ht="12.45" thickBot="1" x14ac:dyDescent="0.25">
      <c r="B147" s="714" t="s">
        <v>599</v>
      </c>
      <c r="C147" s="693" t="s">
        <v>0</v>
      </c>
      <c r="D147" s="693" t="s">
        <v>1</v>
      </c>
      <c r="E147" s="693" t="s">
        <v>2</v>
      </c>
    </row>
    <row r="148" spans="2:5" ht="12.45" thickBot="1" x14ac:dyDescent="0.25">
      <c r="B148" s="706" t="s">
        <v>719</v>
      </c>
      <c r="C148" s="712" t="s">
        <v>721</v>
      </c>
      <c r="D148" s="951">
        <f>Assumptions!$D$88</f>
        <v>1.68</v>
      </c>
      <c r="E148" s="1170" t="str">
        <f>Assumptions!$E$88</f>
        <v>US DOT, 2018 BCA Guidance and Federal Highway Administration Highway Statistics 2016, Table VM1.</v>
      </c>
    </row>
    <row r="149" spans="2:5" ht="12.45" thickBot="1" x14ac:dyDescent="0.25">
      <c r="B149" s="706" t="s">
        <v>720</v>
      </c>
      <c r="C149" s="712" t="s">
        <v>721</v>
      </c>
      <c r="D149" s="951">
        <f>Assumptions!$D$89</f>
        <v>1</v>
      </c>
      <c r="E149" s="1171"/>
    </row>
    <row r="150" spans="2:5" ht="24.25" thickBot="1" x14ac:dyDescent="0.25">
      <c r="B150" s="706" t="s">
        <v>716</v>
      </c>
      <c r="C150" s="712" t="s">
        <v>717</v>
      </c>
      <c r="D150" s="952">
        <f>Assumptions!$D$85</f>
        <v>16.100000000000001</v>
      </c>
      <c r="E150" s="1172" t="str">
        <f>Assumptions!E85</f>
        <v>US DOT, 2018 BCA Guidance on recommended hourly value of travel time savings, based on Revised Departmental Guidance on Valuation of Travel Time in Economic Analysis.</v>
      </c>
    </row>
    <row r="151" spans="2:5" ht="12.45" thickBot="1" x14ac:dyDescent="0.25">
      <c r="B151" s="706" t="s">
        <v>718</v>
      </c>
      <c r="C151" s="712" t="s">
        <v>717</v>
      </c>
      <c r="D151" s="952">
        <f>Assumptions!$D$87</f>
        <v>28.6</v>
      </c>
      <c r="E151" s="1173"/>
    </row>
    <row r="153" spans="2:5" x14ac:dyDescent="0.2">
      <c r="B153" s="688" t="s">
        <v>616</v>
      </c>
    </row>
    <row r="154" spans="2:5" ht="15.05" x14ac:dyDescent="0.3">
      <c r="B154" s="639" t="s">
        <v>600</v>
      </c>
    </row>
    <row r="156" spans="2:5" ht="12.45" thickBot="1" x14ac:dyDescent="0.25">
      <c r="B156" s="974" t="s">
        <v>1077</v>
      </c>
      <c r="C156" s="975"/>
      <c r="D156" s="976"/>
    </row>
    <row r="157" spans="2:5" ht="12.45" thickBot="1" x14ac:dyDescent="0.25">
      <c r="B157" s="1094" t="s">
        <v>942</v>
      </c>
      <c r="C157" s="978" t="s">
        <v>943</v>
      </c>
      <c r="D157" s="978" t="s">
        <v>566</v>
      </c>
      <c r="E157" s="978" t="s">
        <v>1073</v>
      </c>
    </row>
    <row r="158" spans="2:5" ht="12.45" thickBot="1" x14ac:dyDescent="0.25">
      <c r="B158" s="959" t="s">
        <v>954</v>
      </c>
      <c r="C158" s="1101">
        <f>Results!C16</f>
        <v>175767336.60796386</v>
      </c>
      <c r="D158" s="1101">
        <f>Results!D16</f>
        <v>42918714.97679162</v>
      </c>
      <c r="E158" s="1101">
        <f>Results!E16</f>
        <v>90234883.529879376</v>
      </c>
    </row>
    <row r="159" spans="2:5" ht="12.45" thickBot="1" x14ac:dyDescent="0.25">
      <c r="B159" s="959" t="s">
        <v>914</v>
      </c>
      <c r="C159" s="1101">
        <f>Results!C19</f>
        <v>73459128.138333708</v>
      </c>
      <c r="D159" s="1101">
        <f>Results!D19</f>
        <v>56127817.205489762</v>
      </c>
      <c r="E159" s="1101">
        <f>Results!E19</f>
        <v>65265499.00086347</v>
      </c>
    </row>
    <row r="160" spans="2:5" ht="12.45" thickBot="1" x14ac:dyDescent="0.25">
      <c r="B160" s="1108" t="s">
        <v>915</v>
      </c>
      <c r="C160" s="1102">
        <f>Results!C20</f>
        <v>102308208.46963015</v>
      </c>
      <c r="D160" s="1102">
        <f>Results!D20</f>
        <v>-13209102.228698142</v>
      </c>
      <c r="E160" s="1102">
        <f>Results!E20</f>
        <v>24969384.529015906</v>
      </c>
    </row>
    <row r="161" spans="2:5" ht="12.45" thickBot="1" x14ac:dyDescent="0.25">
      <c r="B161" s="1108" t="s">
        <v>916</v>
      </c>
      <c r="C161" s="1103">
        <f>Results!C21</f>
        <v>2.3927228795442499</v>
      </c>
      <c r="D161" s="1103">
        <f>Results!D21</f>
        <v>0.76466032555055097</v>
      </c>
      <c r="E161" s="1103">
        <f>Results!E21</f>
        <v>1.3825816842170402</v>
      </c>
    </row>
    <row r="162" spans="2:5" ht="15.05" customHeight="1" thickBot="1" x14ac:dyDescent="0.25">
      <c r="B162" s="959" t="s">
        <v>917</v>
      </c>
      <c r="C162" s="1191">
        <f>Results!C22</f>
        <v>5.0646521158638436E-2</v>
      </c>
      <c r="D162" s="1192"/>
      <c r="E162" s="1193"/>
    </row>
    <row r="163" spans="2:5" ht="12.45" thickBot="1" x14ac:dyDescent="0.25">
      <c r="B163" s="959" t="s">
        <v>610</v>
      </c>
      <c r="C163" s="1107">
        <f>Results!C24</f>
        <v>14.054777715434886</v>
      </c>
      <c r="D163" s="1107" t="str">
        <f>Results!D24</f>
        <v>&gt;30 yrs</v>
      </c>
      <c r="E163" s="1107">
        <f>Results!E24</f>
        <v>21.067518991084874</v>
      </c>
    </row>
    <row r="165" spans="2:5" ht="12.45" thickBot="1" x14ac:dyDescent="0.25">
      <c r="B165" s="974" t="s">
        <v>1116</v>
      </c>
      <c r="C165" s="975"/>
      <c r="D165" s="976"/>
    </row>
    <row r="166" spans="2:5" ht="12.45" thickBot="1" x14ac:dyDescent="0.25">
      <c r="B166" s="1094" t="s">
        <v>942</v>
      </c>
      <c r="C166" s="978" t="s">
        <v>943</v>
      </c>
      <c r="D166" s="978" t="s">
        <v>566</v>
      </c>
      <c r="E166" s="978" t="s">
        <v>1073</v>
      </c>
    </row>
    <row r="167" spans="2:5" ht="12.45" thickBot="1" x14ac:dyDescent="0.25">
      <c r="B167" s="959" t="s">
        <v>954</v>
      </c>
      <c r="C167" s="1101">
        <f>Results!I16</f>
        <v>165555701.30671108</v>
      </c>
      <c r="D167" s="1101">
        <f>Results!J16</f>
        <v>41984806.879100084</v>
      </c>
      <c r="E167" s="1101">
        <f>Results!K16</f>
        <v>86668520.348455936</v>
      </c>
    </row>
    <row r="168" spans="2:5" ht="12.45" thickBot="1" x14ac:dyDescent="0.25">
      <c r="B168" s="959" t="s">
        <v>914</v>
      </c>
      <c r="C168" s="1101">
        <f>Results!I19</f>
        <v>48462080.57489334</v>
      </c>
      <c r="D168" s="1101">
        <f>Results!J19</f>
        <v>36421327.398426563</v>
      </c>
      <c r="E168" s="1101">
        <f>Results!K19</f>
        <v>42756803.404439777</v>
      </c>
    </row>
    <row r="169" spans="2:5" ht="12.45" thickBot="1" x14ac:dyDescent="0.25">
      <c r="B169" s="1108" t="s">
        <v>915</v>
      </c>
      <c r="C169" s="1102">
        <f>Results!I20</f>
        <v>117093620.73181774</v>
      </c>
      <c r="D169" s="1102">
        <f>Results!J20</f>
        <v>5563479.4806735218</v>
      </c>
      <c r="E169" s="1102">
        <f>Results!K20</f>
        <v>43911716.944016159</v>
      </c>
    </row>
    <row r="170" spans="2:5" ht="12.45" thickBot="1" x14ac:dyDescent="0.25">
      <c r="B170" s="1108" t="s">
        <v>916</v>
      </c>
      <c r="C170" s="1103">
        <f>Results!I21</f>
        <v>3.4161905420230805</v>
      </c>
      <c r="D170" s="1103">
        <f>Results!J21</f>
        <v>1.1527533420133904</v>
      </c>
      <c r="E170" s="1103">
        <f>Results!K21</f>
        <v>2.0270112227205566</v>
      </c>
    </row>
    <row r="171" spans="2:5" ht="15.05" customHeight="1" thickBot="1" x14ac:dyDescent="0.25">
      <c r="B171" s="959" t="s">
        <v>917</v>
      </c>
      <c r="C171" s="1191">
        <f>Results!I22</f>
        <v>8.1816127842948339E-2</v>
      </c>
      <c r="D171" s="1192"/>
      <c r="E171" s="1193"/>
    </row>
    <row r="172" spans="2:5" ht="12.45" thickBot="1" x14ac:dyDescent="0.25">
      <c r="B172" s="959" t="s">
        <v>610</v>
      </c>
      <c r="C172" s="1107">
        <f>Results!I24</f>
        <v>8.9463212227559783</v>
      </c>
      <c r="D172" s="1107">
        <f>Results!J24</f>
        <v>17.251230044481218</v>
      </c>
      <c r="E172" s="1107">
        <f>Results!K24</f>
        <v>11.769881675369367</v>
      </c>
    </row>
    <row r="174" spans="2:5" ht="12.45" thickBot="1" x14ac:dyDescent="0.25">
      <c r="B174" s="974" t="s">
        <v>1117</v>
      </c>
      <c r="C174" s="975"/>
      <c r="D174" s="976"/>
    </row>
    <row r="175" spans="2:5" ht="12.45" thickBot="1" x14ac:dyDescent="0.25">
      <c r="B175" s="1094" t="s">
        <v>942</v>
      </c>
      <c r="C175" s="978" t="s">
        <v>943</v>
      </c>
      <c r="D175" s="978" t="s">
        <v>566</v>
      </c>
      <c r="E175" s="978" t="s">
        <v>1073</v>
      </c>
    </row>
    <row r="176" spans="2:5" ht="12.45" thickBot="1" x14ac:dyDescent="0.25">
      <c r="B176" s="959" t="s">
        <v>954</v>
      </c>
      <c r="C176" s="1101">
        <f>Results!F16</f>
        <v>10211635.301252801</v>
      </c>
      <c r="D176" s="1101">
        <f>Results!G16</f>
        <v>933908.09769153816</v>
      </c>
      <c r="E176" s="1101">
        <f>Results!H16</f>
        <v>3566363.1814234545</v>
      </c>
    </row>
    <row r="177" spans="2:11" ht="12.45" thickBot="1" x14ac:dyDescent="0.25">
      <c r="B177" s="959" t="s">
        <v>914</v>
      </c>
      <c r="C177" s="1101">
        <f>Results!F19</f>
        <v>24997047.563440382</v>
      </c>
      <c r="D177" s="1101">
        <f>Results!G19</f>
        <v>19706489.8070632</v>
      </c>
      <c r="E177" s="1101">
        <f>Results!H19</f>
        <v>22508695.596423686</v>
      </c>
    </row>
    <row r="178" spans="2:11" ht="12.45" thickBot="1" x14ac:dyDescent="0.25">
      <c r="B178" s="1108" t="s">
        <v>915</v>
      </c>
      <c r="C178" s="1102">
        <f>Results!F20</f>
        <v>-14785412.262187582</v>
      </c>
      <c r="D178" s="1102">
        <f>Results!G20</f>
        <v>-18772581.70937166</v>
      </c>
      <c r="E178" s="1102">
        <f>Results!H20</f>
        <v>-18942332.41500023</v>
      </c>
    </row>
    <row r="179" spans="2:11" ht="12.45" thickBot="1" x14ac:dyDescent="0.25">
      <c r="B179" s="1108" t="s">
        <v>916</v>
      </c>
      <c r="C179" s="1103">
        <f>Results!F21</f>
        <v>0.4085136564762914</v>
      </c>
      <c r="D179" s="1103">
        <f>Results!G21</f>
        <v>4.7390890353126554E-2</v>
      </c>
      <c r="E179" s="1103">
        <f>Results!H21</f>
        <v>0.15844379636064293</v>
      </c>
    </row>
    <row r="180" spans="2:11" ht="15.05" customHeight="1" thickBot="1" x14ac:dyDescent="0.25">
      <c r="B180" s="959" t="s">
        <v>917</v>
      </c>
      <c r="C180" s="1191">
        <f>Results!F22</f>
        <v>-2.7447500780132916E-2</v>
      </c>
      <c r="D180" s="1192"/>
      <c r="E180" s="1193"/>
    </row>
    <row r="181" spans="2:11" ht="12.45" thickBot="1" x14ac:dyDescent="0.25">
      <c r="B181" s="959" t="s">
        <v>610</v>
      </c>
      <c r="C181" s="1107" t="str">
        <f>Results!F24</f>
        <v>&gt;30 yrs</v>
      </c>
      <c r="D181" s="1107" t="str">
        <f>Results!G24</f>
        <v>&gt;30 yrs</v>
      </c>
      <c r="E181" s="1107" t="str">
        <f>Results!H24</f>
        <v>&gt;30 yrs</v>
      </c>
    </row>
    <row r="184" spans="2:11" ht="12.45" thickBot="1" x14ac:dyDescent="0.25">
      <c r="B184" s="692" t="s">
        <v>1091</v>
      </c>
      <c r="C184" s="682"/>
      <c r="D184" s="682"/>
      <c r="K184" s="689"/>
    </row>
    <row r="185" spans="2:11" ht="14.25" customHeight="1" thickBot="1" x14ac:dyDescent="0.25">
      <c r="B185" s="1168" t="s">
        <v>918</v>
      </c>
      <c r="C185" s="1168" t="s">
        <v>567</v>
      </c>
      <c r="D185" s="1194" t="s">
        <v>1092</v>
      </c>
      <c r="E185" s="1195"/>
      <c r="F185" s="1196"/>
      <c r="K185" s="689"/>
    </row>
    <row r="186" spans="2:11" ht="12.45" thickBot="1" x14ac:dyDescent="0.25">
      <c r="B186" s="1169"/>
      <c r="C186" s="1169"/>
      <c r="D186" s="687" t="s">
        <v>1093</v>
      </c>
      <c r="E186" s="681" t="s">
        <v>566</v>
      </c>
      <c r="F186" s="681" t="s">
        <v>1073</v>
      </c>
      <c r="I186" s="689"/>
    </row>
    <row r="187" spans="2:11" ht="24.25" thickBot="1" x14ac:dyDescent="0.25">
      <c r="B187" s="995" t="s">
        <v>603</v>
      </c>
      <c r="C187" s="998" t="s">
        <v>950</v>
      </c>
      <c r="D187" s="1104">
        <f>Results!C14</f>
        <v>106344.00000000013</v>
      </c>
      <c r="E187" s="1104">
        <f>Results!D14</f>
        <v>29310.774672542615</v>
      </c>
      <c r="F187" s="1104">
        <f>Results!E14</f>
        <v>58188.10842504265</v>
      </c>
      <c r="I187" s="689"/>
    </row>
    <row r="188" spans="2:11" ht="24.25" thickBot="1" x14ac:dyDescent="0.25">
      <c r="B188" s="1185" t="s">
        <v>601</v>
      </c>
      <c r="C188" s="988" t="s">
        <v>951</v>
      </c>
      <c r="D188" s="1104">
        <f>Results!C10</f>
        <v>5207460.9680454545</v>
      </c>
      <c r="E188" s="1104">
        <f>Results!D10</f>
        <v>1435292.2125408174</v>
      </c>
      <c r="F188" s="1104">
        <f>Results!E10</f>
        <v>2849359.657599919</v>
      </c>
      <c r="I188" s="689"/>
    </row>
    <row r="189" spans="2:11" ht="19" customHeight="1" thickBot="1" x14ac:dyDescent="0.25">
      <c r="B189" s="1186"/>
      <c r="C189" s="999" t="s">
        <v>575</v>
      </c>
      <c r="D189" s="1104">
        <f>Results!C15</f>
        <v>29383651.255333483</v>
      </c>
      <c r="E189" s="1104">
        <f>Results!D15</f>
        <v>2572111.3404104668</v>
      </c>
      <c r="F189" s="1104">
        <f>Results!E15</f>
        <v>10138312.449647669</v>
      </c>
      <c r="I189" s="689"/>
    </row>
    <row r="190" spans="2:11" ht="36" thickBot="1" x14ac:dyDescent="0.25">
      <c r="B190" s="1185" t="s">
        <v>957</v>
      </c>
      <c r="C190" s="999" t="s">
        <v>1047</v>
      </c>
      <c r="D190" s="1104">
        <f>Results!C7</f>
        <v>139692356.4198226</v>
      </c>
      <c r="E190" s="1104">
        <f>Results!D7</f>
        <v>38502324.367128596</v>
      </c>
      <c r="F190" s="1104">
        <f>Results!E7</f>
        <v>76435285.314698696</v>
      </c>
      <c r="I190" s="689"/>
    </row>
    <row r="191" spans="2:11" ht="47.8" thickBot="1" x14ac:dyDescent="0.25">
      <c r="B191" s="1190"/>
      <c r="C191" s="999" t="s">
        <v>1082</v>
      </c>
      <c r="D191" s="1104">
        <f>Results!C8</f>
        <v>917152.03688382381</v>
      </c>
      <c r="E191" s="1104">
        <f>Results!D8</f>
        <v>252787.52626913812</v>
      </c>
      <c r="F191" s="1104">
        <f>Results!E8</f>
        <v>501836.88938204857</v>
      </c>
      <c r="I191" s="689"/>
    </row>
    <row r="192" spans="2:11" ht="47.8" thickBot="1" x14ac:dyDescent="0.25">
      <c r="B192" s="1190"/>
      <c r="C192" s="1090" t="s">
        <v>1083</v>
      </c>
      <c r="D192" s="1104">
        <f>Results!C9</f>
        <v>353899.65200185246</v>
      </c>
      <c r="E192" s="1104">
        <f>Results!D9</f>
        <v>97542.625409214656</v>
      </c>
      <c r="F192" s="1104">
        <f>Results!E9</f>
        <v>193642.81315606527</v>
      </c>
      <c r="I192" s="689"/>
    </row>
    <row r="193" spans="2:10" ht="24.25" thickBot="1" x14ac:dyDescent="0.25">
      <c r="B193" s="1190"/>
      <c r="C193" s="999" t="s">
        <v>922</v>
      </c>
      <c r="D193" s="1104">
        <f>Results!C12</f>
        <v>32385.818890482955</v>
      </c>
      <c r="E193" s="1104">
        <f>Results!D12</f>
        <v>8926.2529158647303</v>
      </c>
      <c r="F193" s="1104">
        <f>Results!E12</f>
        <v>17720.506479286218</v>
      </c>
      <c r="I193" s="689"/>
    </row>
    <row r="194" spans="2:10" ht="15.05" customHeight="1" thickBot="1" x14ac:dyDescent="0.25">
      <c r="B194" s="1186"/>
      <c r="C194" s="1090" t="s">
        <v>1076</v>
      </c>
      <c r="D194" s="1104">
        <f>Results!C11</f>
        <v>73945.352000250001</v>
      </c>
      <c r="E194" s="1104">
        <f>Results!D11</f>
        <v>20380.985768460585</v>
      </c>
      <c r="F194" s="1104">
        <f>Results!E11</f>
        <v>40460.582258693343</v>
      </c>
      <c r="I194" s="689"/>
    </row>
    <row r="195" spans="2:10" ht="24.25" thickBot="1" x14ac:dyDescent="0.25">
      <c r="B195" s="1000" t="s">
        <v>958</v>
      </c>
      <c r="C195" s="999" t="s">
        <v>923</v>
      </c>
      <c r="D195" s="1104">
        <f>Results!C13</f>
        <v>141.10498591357992</v>
      </c>
      <c r="E195" s="1104">
        <f>Results!D13</f>
        <v>38.891676514756234</v>
      </c>
      <c r="F195" s="1104">
        <f>Results!E13</f>
        <v>77.208231960933347</v>
      </c>
      <c r="J195" s="689"/>
    </row>
    <row r="196" spans="2:10" ht="12.45" thickBot="1" x14ac:dyDescent="0.25">
      <c r="B196" s="1183" t="s">
        <v>919</v>
      </c>
      <c r="C196" s="1184"/>
      <c r="D196" s="1105">
        <f>SUM(D187:D195)</f>
        <v>175767336.60796386</v>
      </c>
      <c r="E196" s="1105">
        <f t="shared" ref="E196:F196" si="4">SUM(E187:E195)</f>
        <v>42918714.97679162</v>
      </c>
      <c r="F196" s="1105">
        <f t="shared" si="4"/>
        <v>90234883.529879376</v>
      </c>
    </row>
    <row r="198" spans="2:10" x14ac:dyDescent="0.2">
      <c r="D198" s="707" t="b">
        <f>D196=Results!C16</f>
        <v>1</v>
      </c>
      <c r="E198" s="707" t="b">
        <f>E196=Results!D16</f>
        <v>1</v>
      </c>
      <c r="F198" s="707" t="b">
        <f>F196=Results!E16</f>
        <v>1</v>
      </c>
    </row>
  </sheetData>
  <mergeCells count="22">
    <mergeCell ref="D10:D11"/>
    <mergeCell ref="C52:C53"/>
    <mergeCell ref="B196:C196"/>
    <mergeCell ref="B188:B189"/>
    <mergeCell ref="B6:B14"/>
    <mergeCell ref="C6:C14"/>
    <mergeCell ref="B49:B50"/>
    <mergeCell ref="B51:B57"/>
    <mergeCell ref="C162:E162"/>
    <mergeCell ref="C171:E171"/>
    <mergeCell ref="C180:E180"/>
    <mergeCell ref="D185:F185"/>
    <mergeCell ref="B190:B194"/>
    <mergeCell ref="E68:E71"/>
    <mergeCell ref="B76:E76"/>
    <mergeCell ref="B185:B186"/>
    <mergeCell ref="C185:C186"/>
    <mergeCell ref="E148:E149"/>
    <mergeCell ref="E150:E151"/>
    <mergeCell ref="E111:E112"/>
    <mergeCell ref="B85:E85"/>
    <mergeCell ref="E90:E91"/>
  </mergeCells>
  <hyperlinks>
    <hyperlink ref="B154" location="'Emission Inputs'!A1" display="Emission Assumptions"/>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J11"/>
  <sheetViews>
    <sheetView workbookViewId="0"/>
  </sheetViews>
  <sheetFormatPr defaultRowHeight="14.4" x14ac:dyDescent="0.25"/>
  <cols>
    <col min="1" max="1" width="2.21875" customWidth="1"/>
    <col min="2" max="2" width="11.33203125" customWidth="1"/>
    <col min="3" max="3" width="11.109375" bestFit="1" customWidth="1"/>
    <col min="4" max="4" width="10.44140625" customWidth="1"/>
  </cols>
  <sheetData>
    <row r="1" spans="2:10" ht="8.1999999999999993" customHeight="1" x14ac:dyDescent="0.3">
      <c r="B1" s="765"/>
    </row>
    <row r="2" spans="2:10" ht="17.7" x14ac:dyDescent="0.3">
      <c r="B2" s="765" t="s">
        <v>1121</v>
      </c>
      <c r="G2" s="749" t="s">
        <v>1122</v>
      </c>
      <c r="H2" s="749" t="s">
        <v>1123</v>
      </c>
      <c r="I2" s="749" t="s">
        <v>1124</v>
      </c>
    </row>
    <row r="3" spans="2:10" x14ac:dyDescent="0.25">
      <c r="G3" s="1109">
        <f>Results!$D$20</f>
        <v>-13209102.228698142</v>
      </c>
      <c r="H3" s="1110">
        <f>(G3-B6)/ABS(B6)</f>
        <v>0</v>
      </c>
      <c r="I3" s="1124">
        <f>Results!$D$21</f>
        <v>0.76466032555055097</v>
      </c>
    </row>
    <row r="4" spans="2:10" ht="15.05" thickBot="1" x14ac:dyDescent="0.3">
      <c r="G4" s="1109"/>
      <c r="H4" s="1110"/>
      <c r="I4" s="1111"/>
    </row>
    <row r="5" spans="2:10" ht="46.5" customHeight="1" thickBot="1" x14ac:dyDescent="0.3">
      <c r="B5" s="1113" t="s">
        <v>1125</v>
      </c>
      <c r="C5" s="1112" t="s">
        <v>1126</v>
      </c>
      <c r="D5" s="1122" t="s">
        <v>1127</v>
      </c>
      <c r="E5" s="1122" t="s">
        <v>1128</v>
      </c>
      <c r="F5" s="1112" t="s">
        <v>1129</v>
      </c>
      <c r="G5" s="1112" t="s">
        <v>1130</v>
      </c>
      <c r="H5" s="1113" t="s">
        <v>1131</v>
      </c>
    </row>
    <row r="6" spans="2:10" ht="24.75" customHeight="1" thickBot="1" x14ac:dyDescent="0.3">
      <c r="B6" s="1205">
        <v>-13209102.228698142</v>
      </c>
      <c r="C6" s="1200">
        <v>0.76466032555055097</v>
      </c>
      <c r="D6" s="1203" t="s">
        <v>569</v>
      </c>
      <c r="E6" s="1114" t="s">
        <v>1132</v>
      </c>
      <c r="F6" s="1154">
        <v>-7596320.5081491694</v>
      </c>
      <c r="G6" s="1115">
        <v>0.42491772895470692</v>
      </c>
      <c r="H6" s="1116">
        <v>0.84962258394505663</v>
      </c>
      <c r="I6" s="355"/>
    </row>
    <row r="7" spans="2:10" ht="47.8" thickBot="1" x14ac:dyDescent="0.3">
      <c r="B7" s="1206"/>
      <c r="C7" s="1201"/>
      <c r="D7" s="1204"/>
      <c r="E7" s="1117" t="s">
        <v>1133</v>
      </c>
      <c r="F7" s="1155">
        <v>-18821883.949247129</v>
      </c>
      <c r="G7" s="1115">
        <v>-0.42491772895470808</v>
      </c>
      <c r="H7" s="1118">
        <v>0.69514575050050076</v>
      </c>
    </row>
    <row r="8" spans="2:10" ht="47.8" thickBot="1" x14ac:dyDescent="0.3">
      <c r="B8" s="1206"/>
      <c r="C8" s="1201"/>
      <c r="D8" s="1203" t="s">
        <v>1135</v>
      </c>
      <c r="E8" s="1114" t="s">
        <v>1136</v>
      </c>
      <c r="F8" s="1154">
        <v>-11138217.077153124</v>
      </c>
      <c r="G8" s="1115">
        <v>0.15677713107903773</v>
      </c>
      <c r="H8" s="1116">
        <v>0.80155620453981036</v>
      </c>
    </row>
    <row r="9" spans="2:10" ht="59.6" thickBot="1" x14ac:dyDescent="0.3">
      <c r="B9" s="1206"/>
      <c r="C9" s="1201"/>
      <c r="D9" s="1204"/>
      <c r="E9" s="1117" t="s">
        <v>1137</v>
      </c>
      <c r="F9" s="1155">
        <v>-15130835.911701679</v>
      </c>
      <c r="G9" s="1115">
        <v>-0.14548556364628415</v>
      </c>
      <c r="H9" s="1118">
        <v>0.73042180036493987</v>
      </c>
    </row>
    <row r="10" spans="2:10" ht="59.6" thickBot="1" x14ac:dyDescent="0.3">
      <c r="B10" s="1207"/>
      <c r="C10" s="1202"/>
      <c r="D10" s="1117" t="s">
        <v>1138</v>
      </c>
      <c r="E10" s="1117" t="s">
        <v>1139</v>
      </c>
      <c r="F10" s="1155">
        <v>-3601762.3176917359</v>
      </c>
      <c r="G10" s="1115">
        <v>0.72732724334084309</v>
      </c>
      <c r="H10" s="1118">
        <v>0.93582928221660022</v>
      </c>
    </row>
    <row r="11" spans="2:10" x14ac:dyDescent="0.25">
      <c r="J11" s="1119"/>
    </row>
  </sheetData>
  <mergeCells count="4">
    <mergeCell ref="C6:C10"/>
    <mergeCell ref="D6:D7"/>
    <mergeCell ref="D8:D9"/>
    <mergeCell ref="B6:B10"/>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G93"/>
  <sheetViews>
    <sheetView zoomScale="90" zoomScaleNormal="90" workbookViewId="0"/>
  </sheetViews>
  <sheetFormatPr defaultRowHeight="14.4" x14ac:dyDescent="0.25"/>
  <cols>
    <col min="1" max="1" width="1.44140625" customWidth="1"/>
    <col min="2" max="2" width="45.44140625" style="4" customWidth="1"/>
    <col min="3" max="3" width="17" style="2" customWidth="1"/>
    <col min="4" max="4" width="12.88671875" style="2" customWidth="1"/>
    <col min="5" max="5" width="49.77734375" style="924" customWidth="1"/>
  </cols>
  <sheetData>
    <row r="1" spans="2:5" ht="3.8" customHeight="1" x14ac:dyDescent="0.25"/>
    <row r="2" spans="2:5" ht="17.7" x14ac:dyDescent="0.3">
      <c r="B2" s="5" t="s">
        <v>617</v>
      </c>
    </row>
    <row r="3" spans="2:5" ht="11.3" customHeight="1" x14ac:dyDescent="0.3">
      <c r="B3" s="5"/>
    </row>
    <row r="4" spans="2:5" x14ac:dyDescent="0.25">
      <c r="B4" s="728" t="s">
        <v>3</v>
      </c>
      <c r="C4" s="656" t="s">
        <v>0</v>
      </c>
      <c r="D4" s="656" t="s">
        <v>1</v>
      </c>
      <c r="E4" s="925" t="s">
        <v>2</v>
      </c>
    </row>
    <row r="5" spans="2:5" x14ac:dyDescent="0.25">
      <c r="B5" s="729" t="s">
        <v>552</v>
      </c>
      <c r="C5" s="730" t="s">
        <v>553</v>
      </c>
      <c r="D5" s="731">
        <v>907185</v>
      </c>
      <c r="E5" s="729" t="s">
        <v>554</v>
      </c>
    </row>
    <row r="6" spans="2:5" x14ac:dyDescent="0.25">
      <c r="B6" s="729" t="s">
        <v>697</v>
      </c>
      <c r="C6" s="730" t="s">
        <v>698</v>
      </c>
      <c r="D6" s="731">
        <v>5280</v>
      </c>
      <c r="E6" s="729" t="s">
        <v>554</v>
      </c>
    </row>
    <row r="7" spans="2:5" x14ac:dyDescent="0.25">
      <c r="B7" s="729" t="s">
        <v>727</v>
      </c>
      <c r="C7" s="730" t="s">
        <v>712</v>
      </c>
      <c r="D7" s="731">
        <v>365</v>
      </c>
      <c r="E7" s="729" t="s">
        <v>728</v>
      </c>
    </row>
    <row r="8" spans="2:5" x14ac:dyDescent="0.25">
      <c r="B8" s="729" t="s">
        <v>752</v>
      </c>
      <c r="C8" s="730" t="s">
        <v>753</v>
      </c>
      <c r="D8" s="731">
        <v>24</v>
      </c>
      <c r="E8" s="729" t="s">
        <v>728</v>
      </c>
    </row>
    <row r="9" spans="2:5" s="1" customFormat="1" x14ac:dyDescent="0.25">
      <c r="B9" s="729" t="s">
        <v>6</v>
      </c>
      <c r="C9" s="730" t="s">
        <v>4</v>
      </c>
      <c r="D9" s="732">
        <v>7.0000000000000007E-2</v>
      </c>
      <c r="E9" s="729" t="s">
        <v>8</v>
      </c>
    </row>
    <row r="10" spans="2:5" s="1" customFormat="1" ht="20.3" customHeight="1" x14ac:dyDescent="0.25">
      <c r="B10" s="729" t="s">
        <v>7</v>
      </c>
      <c r="C10" s="730" t="s">
        <v>5</v>
      </c>
      <c r="D10" s="733">
        <v>2018</v>
      </c>
      <c r="E10" s="921" t="s">
        <v>618</v>
      </c>
    </row>
    <row r="11" spans="2:5" s="1" customFormat="1" x14ac:dyDescent="0.25">
      <c r="B11" s="1208" t="s">
        <v>690</v>
      </c>
      <c r="C11" s="1209"/>
      <c r="D11" s="1209"/>
      <c r="E11" s="1210"/>
    </row>
    <row r="12" spans="2:5" s="1" customFormat="1" x14ac:dyDescent="0.25">
      <c r="B12" s="729" t="s">
        <v>545</v>
      </c>
      <c r="C12" s="730" t="s">
        <v>9</v>
      </c>
      <c r="D12" s="734">
        <f>D23+1</f>
        <v>2025</v>
      </c>
      <c r="E12" s="921" t="s">
        <v>686</v>
      </c>
    </row>
    <row r="13" spans="2:5" s="1" customFormat="1" x14ac:dyDescent="0.25">
      <c r="B13" s="729" t="s">
        <v>558</v>
      </c>
      <c r="C13" s="730" t="s">
        <v>5</v>
      </c>
      <c r="D13" s="733">
        <v>30</v>
      </c>
      <c r="E13" s="921" t="s">
        <v>758</v>
      </c>
    </row>
    <row r="14" spans="2:5" s="1" customFormat="1" x14ac:dyDescent="0.25">
      <c r="B14" s="729" t="s">
        <v>619</v>
      </c>
      <c r="C14" s="730" t="s">
        <v>9</v>
      </c>
      <c r="D14" s="734">
        <f>D12+D13-1</f>
        <v>2054</v>
      </c>
      <c r="E14" s="921" t="s">
        <v>687</v>
      </c>
    </row>
    <row r="15" spans="2:5" s="1" customFormat="1" x14ac:dyDescent="0.25">
      <c r="B15" s="1208" t="s">
        <v>685</v>
      </c>
      <c r="C15" s="1209"/>
      <c r="D15" s="1209"/>
      <c r="E15" s="1210"/>
    </row>
    <row r="16" spans="2:5" s="1" customFormat="1" x14ac:dyDescent="0.25">
      <c r="B16" s="729" t="s">
        <v>545</v>
      </c>
      <c r="C16" s="730" t="s">
        <v>9</v>
      </c>
      <c r="D16" s="734">
        <f>D23+1</f>
        <v>2025</v>
      </c>
      <c r="E16" s="921" t="s">
        <v>686</v>
      </c>
    </row>
    <row r="17" spans="2:6" s="1" customFormat="1" x14ac:dyDescent="0.25">
      <c r="B17" s="729" t="s">
        <v>558</v>
      </c>
      <c r="C17" s="730" t="s">
        <v>5</v>
      </c>
      <c r="D17" s="735">
        <v>30</v>
      </c>
      <c r="E17" s="921" t="s">
        <v>758</v>
      </c>
    </row>
    <row r="18" spans="2:6" s="1" customFormat="1" x14ac:dyDescent="0.25">
      <c r="B18" s="729" t="s">
        <v>619</v>
      </c>
      <c r="C18" s="730" t="s">
        <v>9</v>
      </c>
      <c r="D18" s="736">
        <f>D16+D17-1</f>
        <v>2054</v>
      </c>
      <c r="E18" s="921" t="s">
        <v>687</v>
      </c>
    </row>
    <row r="19" spans="2:6" x14ac:dyDescent="0.25">
      <c r="E19" s="926"/>
    </row>
    <row r="20" spans="2:6" x14ac:dyDescent="0.25">
      <c r="B20" s="728" t="s">
        <v>688</v>
      </c>
      <c r="C20" s="656" t="s">
        <v>0</v>
      </c>
      <c r="D20" s="656" t="s">
        <v>1</v>
      </c>
      <c r="E20" s="925" t="s">
        <v>2</v>
      </c>
    </row>
    <row r="21" spans="2:6" s="1" customFormat="1" x14ac:dyDescent="0.25">
      <c r="B21" s="1208" t="s">
        <v>691</v>
      </c>
      <c r="C21" s="1209"/>
      <c r="D21" s="1209"/>
      <c r="E21" s="1210"/>
    </row>
    <row r="22" spans="2:6" x14ac:dyDescent="0.25">
      <c r="B22" s="737" t="s">
        <v>10</v>
      </c>
      <c r="C22" s="738" t="s">
        <v>9</v>
      </c>
      <c r="D22" s="739">
        <v>2020</v>
      </c>
      <c r="E22" s="965" t="s">
        <v>686</v>
      </c>
    </row>
    <row r="23" spans="2:6" x14ac:dyDescent="0.25">
      <c r="B23" s="737" t="s">
        <v>11</v>
      </c>
      <c r="C23" s="738" t="s">
        <v>9</v>
      </c>
      <c r="D23" s="739">
        <v>2024</v>
      </c>
      <c r="E23" s="965" t="s">
        <v>686</v>
      </c>
    </row>
    <row r="24" spans="2:6" x14ac:dyDescent="0.25">
      <c r="B24" s="737" t="s">
        <v>759</v>
      </c>
      <c r="C24" s="738" t="s">
        <v>5</v>
      </c>
      <c r="D24" s="739">
        <v>50</v>
      </c>
      <c r="E24" s="729" t="s">
        <v>936</v>
      </c>
    </row>
    <row r="25" spans="2:6" s="1" customFormat="1" x14ac:dyDescent="0.25">
      <c r="B25" s="1208" t="s">
        <v>685</v>
      </c>
      <c r="C25" s="1209"/>
      <c r="D25" s="1209"/>
      <c r="E25" s="1210"/>
    </row>
    <row r="26" spans="2:6" x14ac:dyDescent="0.25">
      <c r="B26" s="737" t="s">
        <v>10</v>
      </c>
      <c r="C26" s="738" t="s">
        <v>9</v>
      </c>
      <c r="D26" s="739">
        <v>2020</v>
      </c>
      <c r="E26" s="965" t="s">
        <v>686</v>
      </c>
    </row>
    <row r="27" spans="2:6" x14ac:dyDescent="0.25">
      <c r="B27" s="737" t="s">
        <v>11</v>
      </c>
      <c r="C27" s="738" t="s">
        <v>9</v>
      </c>
      <c r="D27" s="739">
        <v>2024</v>
      </c>
      <c r="E27" s="965" t="s">
        <v>686</v>
      </c>
    </row>
    <row r="28" spans="2:6" x14ac:dyDescent="0.25">
      <c r="B28" s="737" t="s">
        <v>689</v>
      </c>
      <c r="C28" s="738" t="s">
        <v>5</v>
      </c>
      <c r="D28" s="739">
        <v>50</v>
      </c>
      <c r="E28" s="729" t="s">
        <v>936</v>
      </c>
    </row>
    <row r="29" spans="2:6" x14ac:dyDescent="0.25">
      <c r="B29" s="757"/>
      <c r="C29" s="759"/>
      <c r="D29" s="760"/>
      <c r="E29" s="927"/>
      <c r="F29" s="650"/>
    </row>
    <row r="30" spans="2:6" s="650" customFormat="1" x14ac:dyDescent="0.25">
      <c r="B30" s="728" t="s">
        <v>704</v>
      </c>
      <c r="C30" s="656" t="s">
        <v>0</v>
      </c>
      <c r="D30" s="656" t="s">
        <v>1</v>
      </c>
      <c r="E30" s="925" t="s">
        <v>2</v>
      </c>
    </row>
    <row r="31" spans="2:6" s="1" customFormat="1" x14ac:dyDescent="0.25">
      <c r="B31" s="1208" t="s">
        <v>691</v>
      </c>
      <c r="C31" s="1209"/>
      <c r="D31" s="1209"/>
      <c r="E31" s="1210"/>
    </row>
    <row r="32" spans="2:6" s="650" customFormat="1" x14ac:dyDescent="0.25">
      <c r="B32" s="737" t="s">
        <v>764</v>
      </c>
      <c r="C32" s="738" t="s">
        <v>705</v>
      </c>
      <c r="D32" s="739">
        <v>15</v>
      </c>
      <c r="E32" s="729" t="s">
        <v>1051</v>
      </c>
    </row>
    <row r="33" spans="2:6" s="1" customFormat="1" x14ac:dyDescent="0.25">
      <c r="B33" s="1208" t="s">
        <v>685</v>
      </c>
      <c r="C33" s="1209"/>
      <c r="D33" s="1209"/>
      <c r="E33" s="1210"/>
    </row>
    <row r="34" spans="2:6" s="650" customFormat="1" ht="72" x14ac:dyDescent="0.25">
      <c r="B34" s="737" t="s">
        <v>1052</v>
      </c>
      <c r="C34" s="738" t="s">
        <v>12</v>
      </c>
      <c r="D34" s="740">
        <f>24900000*1.0979</f>
        <v>27337710.000000004</v>
      </c>
      <c r="E34" s="941" t="s">
        <v>920</v>
      </c>
    </row>
    <row r="35" spans="2:6" s="650" customFormat="1" ht="43.2" x14ac:dyDescent="0.25">
      <c r="B35" s="729" t="s">
        <v>852</v>
      </c>
      <c r="C35" s="730" t="s">
        <v>705</v>
      </c>
      <c r="D35" s="739">
        <v>22</v>
      </c>
      <c r="E35" s="921" t="s">
        <v>853</v>
      </c>
    </row>
    <row r="36" spans="2:6" s="650" customFormat="1" ht="28.8" x14ac:dyDescent="0.25">
      <c r="B36" s="729" t="s">
        <v>906</v>
      </c>
      <c r="C36" s="730" t="s">
        <v>705</v>
      </c>
      <c r="D36" s="742">
        <v>45</v>
      </c>
      <c r="E36" s="921" t="s">
        <v>854</v>
      </c>
    </row>
    <row r="37" spans="2:6" s="650" customFormat="1" ht="51.75" customHeight="1" x14ac:dyDescent="0.25">
      <c r="B37" s="729" t="s">
        <v>940</v>
      </c>
      <c r="C37" s="730" t="s">
        <v>705</v>
      </c>
      <c r="D37" s="742">
        <v>120</v>
      </c>
      <c r="E37" s="921" t="s">
        <v>1029</v>
      </c>
    </row>
    <row r="38" spans="2:6" x14ac:dyDescent="0.25">
      <c r="B38" s="755"/>
      <c r="C38" s="761"/>
      <c r="D38" s="762"/>
      <c r="E38" s="928"/>
      <c r="F38" s="650"/>
    </row>
    <row r="39" spans="2:6" x14ac:dyDescent="0.25">
      <c r="B39" s="756" t="s">
        <v>13</v>
      </c>
      <c r="C39" s="656" t="s">
        <v>0</v>
      </c>
      <c r="D39" s="656" t="s">
        <v>1</v>
      </c>
      <c r="E39" s="925" t="s">
        <v>2</v>
      </c>
    </row>
    <row r="40" spans="2:6" s="1" customFormat="1" x14ac:dyDescent="0.25">
      <c r="B40" s="1208" t="s">
        <v>691</v>
      </c>
      <c r="C40" s="1209"/>
      <c r="D40" s="1209"/>
      <c r="E40" s="1210"/>
    </row>
    <row r="41" spans="2:6" x14ac:dyDescent="0.25">
      <c r="B41" s="729" t="s">
        <v>692</v>
      </c>
      <c r="C41" s="730"/>
      <c r="D41" s="739"/>
      <c r="E41" s="729"/>
    </row>
    <row r="42" spans="2:6" x14ac:dyDescent="0.25">
      <c r="B42" s="919" t="s">
        <v>694</v>
      </c>
      <c r="C42" s="730" t="s">
        <v>693</v>
      </c>
      <c r="D42" s="735">
        <v>9000</v>
      </c>
      <c r="E42" s="921" t="s">
        <v>714</v>
      </c>
    </row>
    <row r="43" spans="2:6" x14ac:dyDescent="0.25">
      <c r="B43" s="919" t="s">
        <v>695</v>
      </c>
      <c r="C43" s="730" t="s">
        <v>693</v>
      </c>
      <c r="D43" s="735">
        <v>9500</v>
      </c>
      <c r="E43" s="921" t="s">
        <v>715</v>
      </c>
    </row>
    <row r="44" spans="2:6" x14ac:dyDescent="0.25">
      <c r="B44" s="729" t="s">
        <v>696</v>
      </c>
      <c r="C44" s="730" t="s">
        <v>4</v>
      </c>
      <c r="D44" s="741">
        <v>0.01</v>
      </c>
      <c r="E44" s="921" t="s">
        <v>714</v>
      </c>
    </row>
    <row r="45" spans="2:6" ht="28.8" x14ac:dyDescent="0.25">
      <c r="B45" s="729" t="s">
        <v>699</v>
      </c>
      <c r="C45" s="730" t="s">
        <v>700</v>
      </c>
      <c r="D45" s="735">
        <v>912</v>
      </c>
      <c r="E45" s="921" t="s">
        <v>846</v>
      </c>
    </row>
    <row r="46" spans="2:6" ht="43.2" x14ac:dyDescent="0.25">
      <c r="B46" s="921" t="s">
        <v>1053</v>
      </c>
      <c r="C46" s="730" t="s">
        <v>14</v>
      </c>
      <c r="D46" s="735">
        <v>3</v>
      </c>
      <c r="E46" s="921" t="s">
        <v>713</v>
      </c>
    </row>
    <row r="47" spans="2:6" x14ac:dyDescent="0.25">
      <c r="B47" s="1211" t="s">
        <v>562</v>
      </c>
      <c r="C47" s="1212"/>
      <c r="D47" s="1212"/>
      <c r="E47" s="1213"/>
    </row>
    <row r="48" spans="2:6" x14ac:dyDescent="0.25">
      <c r="B48" s="919" t="s">
        <v>701</v>
      </c>
      <c r="C48" s="730" t="s">
        <v>703</v>
      </c>
      <c r="D48" s="742">
        <v>25</v>
      </c>
      <c r="E48" s="921" t="s">
        <v>760</v>
      </c>
      <c r="F48" s="657"/>
    </row>
    <row r="49" spans="2:6" x14ac:dyDescent="0.25">
      <c r="B49" s="919" t="s">
        <v>702</v>
      </c>
      <c r="C49" s="730" t="s">
        <v>703</v>
      </c>
      <c r="D49" s="742">
        <v>30</v>
      </c>
      <c r="E49" s="921" t="s">
        <v>761</v>
      </c>
    </row>
    <row r="50" spans="2:6" ht="56.95" customHeight="1" x14ac:dyDescent="0.25">
      <c r="B50" s="743" t="s">
        <v>879</v>
      </c>
      <c r="C50" s="730" t="s">
        <v>881</v>
      </c>
      <c r="D50" s="742">
        <f>3/5</f>
        <v>0.6</v>
      </c>
      <c r="E50" s="1214" t="s">
        <v>1031</v>
      </c>
    </row>
    <row r="51" spans="2:6" x14ac:dyDescent="0.25">
      <c r="B51" s="743" t="s">
        <v>880</v>
      </c>
      <c r="C51" s="730" t="s">
        <v>881</v>
      </c>
      <c r="D51" s="742">
        <f>15/5</f>
        <v>3</v>
      </c>
      <c r="E51" s="1215"/>
    </row>
    <row r="52" spans="2:6" ht="28.8" x14ac:dyDescent="0.25">
      <c r="B52" s="743" t="s">
        <v>885</v>
      </c>
      <c r="C52" s="730" t="s">
        <v>924</v>
      </c>
      <c r="D52" s="933">
        <v>0.98</v>
      </c>
      <c r="E52" s="922" t="s">
        <v>886</v>
      </c>
    </row>
    <row r="53" spans="2:6" ht="28.8" x14ac:dyDescent="0.25">
      <c r="B53" s="743" t="s">
        <v>875</v>
      </c>
      <c r="C53" s="730" t="s">
        <v>876</v>
      </c>
      <c r="D53" s="933">
        <v>1.5</v>
      </c>
      <c r="E53" s="929" t="s">
        <v>1032</v>
      </c>
    </row>
    <row r="54" spans="2:6" ht="28.8" x14ac:dyDescent="0.25">
      <c r="B54" s="743" t="s">
        <v>877</v>
      </c>
      <c r="C54" s="730" t="s">
        <v>878</v>
      </c>
      <c r="D54" s="933">
        <f>(3+5+16)/15</f>
        <v>1.6</v>
      </c>
      <c r="E54" s="929" t="s">
        <v>1033</v>
      </c>
    </row>
    <row r="55" spans="2:6" s="1" customFormat="1" x14ac:dyDescent="0.25">
      <c r="B55" s="1208" t="s">
        <v>685</v>
      </c>
      <c r="C55" s="1209"/>
      <c r="D55" s="1209"/>
      <c r="E55" s="1210"/>
    </row>
    <row r="56" spans="2:6" x14ac:dyDescent="0.25">
      <c r="B56" s="1216" t="s">
        <v>706</v>
      </c>
      <c r="C56" s="1217"/>
      <c r="D56" s="1217"/>
      <c r="E56" s="1218"/>
      <c r="F56" s="657"/>
    </row>
    <row r="57" spans="2:6" x14ac:dyDescent="0.25">
      <c r="B57" s="758" t="s">
        <v>739</v>
      </c>
      <c r="C57" s="738" t="s">
        <v>712</v>
      </c>
      <c r="D57" s="742">
        <v>365</v>
      </c>
      <c r="E57" s="921" t="s">
        <v>762</v>
      </c>
    </row>
    <row r="58" spans="2:6" ht="48.45" customHeight="1" x14ac:dyDescent="0.25">
      <c r="B58" s="919" t="s">
        <v>707</v>
      </c>
      <c r="C58" s="738" t="s">
        <v>708</v>
      </c>
      <c r="D58" s="742">
        <v>40</v>
      </c>
      <c r="E58" s="921" t="s">
        <v>766</v>
      </c>
    </row>
    <row r="59" spans="2:6" ht="34.549999999999997" customHeight="1" x14ac:dyDescent="0.25">
      <c r="B59" s="919" t="s">
        <v>1054</v>
      </c>
      <c r="C59" s="738" t="s">
        <v>708</v>
      </c>
      <c r="D59" s="772">
        <f>D58*(0.48+0.52*0.5)</f>
        <v>29.6</v>
      </c>
      <c r="E59" s="1220" t="s">
        <v>779</v>
      </c>
    </row>
    <row r="60" spans="2:6" ht="41.25" customHeight="1" x14ac:dyDescent="0.25">
      <c r="B60" s="919" t="s">
        <v>1055</v>
      </c>
      <c r="C60" s="738" t="s">
        <v>708</v>
      </c>
      <c r="D60" s="772">
        <f>D58*0.52*0.5</f>
        <v>10.4</v>
      </c>
      <c r="E60" s="1221"/>
    </row>
    <row r="61" spans="2:6" ht="28.8" x14ac:dyDescent="0.25">
      <c r="B61" s="758" t="s">
        <v>910</v>
      </c>
      <c r="C61" s="738" t="s">
        <v>4</v>
      </c>
      <c r="D61" s="732">
        <v>0.01</v>
      </c>
      <c r="E61" s="965" t="s">
        <v>941</v>
      </c>
    </row>
    <row r="62" spans="2:6" ht="57.6" x14ac:dyDescent="0.25">
      <c r="B62" s="920" t="s">
        <v>1056</v>
      </c>
      <c r="C62" s="730" t="s">
        <v>14</v>
      </c>
      <c r="D62" s="742">
        <v>400</v>
      </c>
      <c r="E62" s="921" t="s">
        <v>1034</v>
      </c>
    </row>
    <row r="63" spans="2:6" ht="28.8" x14ac:dyDescent="0.25">
      <c r="B63" s="758" t="s">
        <v>709</v>
      </c>
      <c r="C63" s="738" t="s">
        <v>703</v>
      </c>
      <c r="D63" s="742">
        <v>20</v>
      </c>
      <c r="E63" s="921" t="s">
        <v>1026</v>
      </c>
    </row>
    <row r="64" spans="2:6" ht="14.25" customHeight="1" x14ac:dyDescent="0.25">
      <c r="B64" s="813" t="s">
        <v>1057</v>
      </c>
      <c r="C64" s="738" t="s">
        <v>724</v>
      </c>
      <c r="D64" s="812">
        <f>D62/D63</f>
        <v>20</v>
      </c>
      <c r="E64" s="1083" t="s">
        <v>855</v>
      </c>
    </row>
    <row r="65" spans="2:7" ht="28.8" x14ac:dyDescent="0.25">
      <c r="B65" s="758" t="s">
        <v>741</v>
      </c>
      <c r="C65" s="738" t="s">
        <v>742</v>
      </c>
      <c r="D65" s="742">
        <f>100*0.5</f>
        <v>50</v>
      </c>
      <c r="E65" s="1001" t="s">
        <v>959</v>
      </c>
      <c r="G65" s="657"/>
    </row>
    <row r="66" spans="2:7" ht="28.8" x14ac:dyDescent="0.25">
      <c r="B66" s="758" t="s">
        <v>743</v>
      </c>
      <c r="C66" s="738" t="s">
        <v>744</v>
      </c>
      <c r="D66" s="742">
        <v>100</v>
      </c>
      <c r="E66" s="1001" t="s">
        <v>1027</v>
      </c>
      <c r="G66" s="657"/>
    </row>
    <row r="67" spans="2:7" ht="57.6" x14ac:dyDescent="0.25">
      <c r="B67" s="919" t="s">
        <v>911</v>
      </c>
      <c r="C67" s="730" t="s">
        <v>797</v>
      </c>
      <c r="D67" s="763">
        <f>605/'Price Deflator'!$I$5</f>
        <v>591.66688561423859</v>
      </c>
      <c r="E67" s="921" t="s">
        <v>1024</v>
      </c>
      <c r="F67" t="s">
        <v>1035</v>
      </c>
    </row>
    <row r="68" spans="2:7" ht="57.6" x14ac:dyDescent="0.25">
      <c r="B68" s="758" t="s">
        <v>767</v>
      </c>
      <c r="C68" s="738" t="s">
        <v>768</v>
      </c>
      <c r="D68" s="763">
        <f>469.6*'INFLATION ADJUSTMENT'!$C$20</f>
        <v>506.22880000000004</v>
      </c>
      <c r="E68" s="921" t="s">
        <v>1036</v>
      </c>
      <c r="F68" s="930"/>
    </row>
    <row r="69" spans="2:7" ht="28.8" x14ac:dyDescent="0.25">
      <c r="B69" s="919" t="s">
        <v>865</v>
      </c>
      <c r="C69" s="730" t="s">
        <v>856</v>
      </c>
      <c r="D69" s="763">
        <f>D68*D65*D66/365*0.1</f>
        <v>693.46410958904107</v>
      </c>
      <c r="E69" s="921" t="s">
        <v>857</v>
      </c>
      <c r="F69" s="930"/>
    </row>
    <row r="70" spans="2:7" x14ac:dyDescent="0.25">
      <c r="B70" s="1216" t="s">
        <v>710</v>
      </c>
      <c r="C70" s="1217"/>
      <c r="D70" s="1217"/>
      <c r="E70" s="1218"/>
    </row>
    <row r="71" spans="2:7" x14ac:dyDescent="0.25">
      <c r="B71" s="758" t="s">
        <v>711</v>
      </c>
      <c r="C71" s="738" t="s">
        <v>712</v>
      </c>
      <c r="D71" s="742">
        <v>365</v>
      </c>
      <c r="E71" s="921" t="s">
        <v>762</v>
      </c>
    </row>
    <row r="72" spans="2:7" x14ac:dyDescent="0.25">
      <c r="B72" s="803" t="s">
        <v>749</v>
      </c>
      <c r="C72" s="738" t="s">
        <v>4</v>
      </c>
      <c r="D72" s="732">
        <v>0</v>
      </c>
      <c r="E72" s="921" t="s">
        <v>750</v>
      </c>
    </row>
    <row r="73" spans="2:7" ht="62.2" customHeight="1" x14ac:dyDescent="0.25">
      <c r="B73" s="920" t="s">
        <v>1059</v>
      </c>
      <c r="C73" s="923" t="s">
        <v>858</v>
      </c>
      <c r="D73" s="742">
        <f>121400+77987</f>
        <v>199387</v>
      </c>
      <c r="E73" s="921" t="s">
        <v>1037</v>
      </c>
    </row>
    <row r="74" spans="2:7" ht="36" customHeight="1" x14ac:dyDescent="0.25">
      <c r="B74" s="920" t="s">
        <v>1058</v>
      </c>
      <c r="C74" s="923" t="s">
        <v>858</v>
      </c>
      <c r="D74" s="742">
        <v>29531</v>
      </c>
      <c r="E74" s="921" t="s">
        <v>859</v>
      </c>
    </row>
    <row r="75" spans="2:7" ht="28.8" x14ac:dyDescent="0.25">
      <c r="B75" s="920" t="s">
        <v>925</v>
      </c>
      <c r="C75" s="923" t="s">
        <v>926</v>
      </c>
      <c r="D75" s="969">
        <f>123/'Price Deflator'!$I$5</f>
        <v>120.28930071165512</v>
      </c>
      <c r="E75" s="965" t="s">
        <v>927</v>
      </c>
    </row>
    <row r="76" spans="2:7" ht="46" customHeight="1" x14ac:dyDescent="0.25">
      <c r="B76" s="920" t="s">
        <v>928</v>
      </c>
      <c r="C76" s="923" t="s">
        <v>926</v>
      </c>
      <c r="D76" s="969">
        <f>300/'Price Deflator'!I6</f>
        <v>290.88883898495396</v>
      </c>
      <c r="E76" s="965" t="s">
        <v>933</v>
      </c>
    </row>
    <row r="77" spans="2:7" x14ac:dyDescent="0.25">
      <c r="B77" s="758" t="s">
        <v>929</v>
      </c>
      <c r="C77" s="738" t="s">
        <v>12</v>
      </c>
      <c r="D77" s="1003">
        <f>D76-D75</f>
        <v>170.59953827329883</v>
      </c>
      <c r="E77" s="965" t="s">
        <v>937</v>
      </c>
    </row>
    <row r="78" spans="2:7" ht="28.8" x14ac:dyDescent="0.25">
      <c r="B78" s="803" t="s">
        <v>930</v>
      </c>
      <c r="C78" s="738" t="s">
        <v>14</v>
      </c>
      <c r="D78" s="742">
        <v>54</v>
      </c>
      <c r="E78" s="965" t="s">
        <v>1060</v>
      </c>
    </row>
    <row r="79" spans="2:7" x14ac:dyDescent="0.25">
      <c r="B79" s="758" t="s">
        <v>931</v>
      </c>
      <c r="C79" s="738" t="s">
        <v>904</v>
      </c>
      <c r="D79" s="742">
        <v>1</v>
      </c>
      <c r="E79" s="965" t="s">
        <v>934</v>
      </c>
    </row>
    <row r="80" spans="2:7" ht="28.8" x14ac:dyDescent="0.25">
      <c r="B80" s="803" t="s">
        <v>932</v>
      </c>
      <c r="C80" s="738" t="s">
        <v>926</v>
      </c>
      <c r="D80" s="1003">
        <f>D79*D86+D78*D90/D88</f>
        <v>33.215714285714284</v>
      </c>
      <c r="E80" s="965" t="s">
        <v>937</v>
      </c>
    </row>
    <row r="81" spans="2:5" x14ac:dyDescent="0.25">
      <c r="B81" s="970"/>
      <c r="C81" s="971"/>
      <c r="D81" s="972"/>
      <c r="E81" s="973"/>
    </row>
    <row r="82" spans="2:5" x14ac:dyDescent="0.25">
      <c r="B82" s="970"/>
      <c r="C82" s="971"/>
      <c r="D82" s="972"/>
      <c r="E82" s="973"/>
    </row>
    <row r="83" spans="2:5" x14ac:dyDescent="0.25">
      <c r="E83" s="926"/>
    </row>
    <row r="84" spans="2:5" x14ac:dyDescent="0.25">
      <c r="B84" s="728" t="s">
        <v>15</v>
      </c>
      <c r="C84" s="656" t="s">
        <v>0</v>
      </c>
      <c r="D84" s="656" t="s">
        <v>1</v>
      </c>
      <c r="E84" s="925" t="s">
        <v>2</v>
      </c>
    </row>
    <row r="85" spans="2:5" ht="26.2" customHeight="1" x14ac:dyDescent="0.25">
      <c r="B85" s="743" t="s">
        <v>716</v>
      </c>
      <c r="C85" s="738" t="s">
        <v>717</v>
      </c>
      <c r="D85" s="744">
        <f>'VALUE OF TIME'!$C$36</f>
        <v>16.100000000000001</v>
      </c>
      <c r="E85" s="1219" t="s">
        <v>847</v>
      </c>
    </row>
    <row r="86" spans="2:5" ht="26.2" customHeight="1" x14ac:dyDescent="0.25">
      <c r="B86" s="743" t="s">
        <v>935</v>
      </c>
      <c r="C86" s="738" t="s">
        <v>717</v>
      </c>
      <c r="D86" s="744">
        <v>20.68</v>
      </c>
      <c r="E86" s="1219"/>
    </row>
    <row r="87" spans="2:5" ht="26.2" customHeight="1" x14ac:dyDescent="0.25">
      <c r="B87" s="743" t="s">
        <v>718</v>
      </c>
      <c r="C87" s="738" t="s">
        <v>717</v>
      </c>
      <c r="D87" s="744">
        <f>'VALUE OF TIME'!$C$48</f>
        <v>28.6</v>
      </c>
      <c r="E87" s="1219"/>
    </row>
    <row r="88" spans="2:5" ht="23.25" customHeight="1" x14ac:dyDescent="0.25">
      <c r="B88" s="743" t="s">
        <v>719</v>
      </c>
      <c r="C88" s="738" t="s">
        <v>721</v>
      </c>
      <c r="D88" s="764">
        <f>'VALUE OF TIME'!$C$79</f>
        <v>1.68</v>
      </c>
      <c r="E88" s="1214" t="s">
        <v>722</v>
      </c>
    </row>
    <row r="89" spans="2:5" ht="20.95" customHeight="1" x14ac:dyDescent="0.25">
      <c r="B89" s="743" t="s">
        <v>720</v>
      </c>
      <c r="C89" s="738" t="s">
        <v>721</v>
      </c>
      <c r="D89" s="764">
        <f>'VALUE OF TIME'!$C$80</f>
        <v>1</v>
      </c>
      <c r="E89" s="1215"/>
    </row>
    <row r="90" spans="2:5" ht="48.45" customHeight="1" x14ac:dyDescent="0.25">
      <c r="B90" s="743" t="s">
        <v>829</v>
      </c>
      <c r="C90" s="738" t="s">
        <v>780</v>
      </c>
      <c r="D90" s="744">
        <v>0.39</v>
      </c>
      <c r="E90" s="921" t="s">
        <v>848</v>
      </c>
    </row>
    <row r="91" spans="2:5" ht="64.150000000000006" customHeight="1" x14ac:dyDescent="0.25">
      <c r="B91" s="743" t="s">
        <v>830</v>
      </c>
      <c r="C91" s="738" t="s">
        <v>780</v>
      </c>
      <c r="D91" s="744">
        <v>0.9</v>
      </c>
      <c r="E91" s="921" t="s">
        <v>1038</v>
      </c>
    </row>
    <row r="92" spans="2:5" ht="62.2" customHeight="1" x14ac:dyDescent="0.25">
      <c r="B92" s="743" t="s">
        <v>783</v>
      </c>
      <c r="C92" s="730" t="s">
        <v>870</v>
      </c>
      <c r="D92" s="740">
        <v>174000</v>
      </c>
      <c r="E92" s="932" t="s">
        <v>871</v>
      </c>
    </row>
    <row r="93" spans="2:5" ht="60.9" customHeight="1" x14ac:dyDescent="0.25">
      <c r="B93" s="743" t="s">
        <v>872</v>
      </c>
      <c r="C93" s="730" t="s">
        <v>873</v>
      </c>
      <c r="D93" s="740">
        <v>4300</v>
      </c>
      <c r="E93" s="932" t="s">
        <v>874</v>
      </c>
    </row>
  </sheetData>
  <mergeCells count="15">
    <mergeCell ref="B47:E47"/>
    <mergeCell ref="E50:E51"/>
    <mergeCell ref="B55:E55"/>
    <mergeCell ref="E88:E89"/>
    <mergeCell ref="B56:E56"/>
    <mergeCell ref="B70:E70"/>
    <mergeCell ref="E85:E87"/>
    <mergeCell ref="E59:E60"/>
    <mergeCell ref="B11:E11"/>
    <mergeCell ref="B15:E15"/>
    <mergeCell ref="B21:E21"/>
    <mergeCell ref="B25:E25"/>
    <mergeCell ref="B40:E40"/>
    <mergeCell ref="B31:E31"/>
    <mergeCell ref="B33:E3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Q74"/>
  <sheetViews>
    <sheetView zoomScale="70" zoomScaleNormal="70" workbookViewId="0"/>
  </sheetViews>
  <sheetFormatPr defaultColWidth="9" defaultRowHeight="15.05" x14ac:dyDescent="0.25"/>
  <cols>
    <col min="1" max="1" width="1.6640625" style="883" customWidth="1"/>
    <col min="2" max="2" width="12.33203125" style="883" customWidth="1"/>
    <col min="3" max="3" width="10" style="883" bestFit="1" customWidth="1"/>
    <col min="4" max="6" width="9.109375" style="883" bestFit="1" customWidth="1"/>
    <col min="7" max="7" width="11.33203125" style="883" customWidth="1"/>
    <col min="8" max="8" width="16.109375" style="883" customWidth="1"/>
    <col min="9" max="9" width="12" style="883" customWidth="1"/>
    <col min="10" max="10" width="11.109375" style="883" bestFit="1" customWidth="1"/>
    <col min="11" max="11" width="9.109375" style="883" bestFit="1" customWidth="1"/>
    <col min="12" max="13" width="9" style="883" customWidth="1"/>
    <col min="14" max="14" width="10" style="883" bestFit="1" customWidth="1"/>
    <col min="15" max="15" width="9" style="883"/>
    <col min="16" max="16" width="15.21875" style="883" customWidth="1"/>
    <col min="17" max="17" width="17.21875" style="883" customWidth="1"/>
    <col min="18" max="18" width="22.21875" style="883" customWidth="1"/>
    <col min="19" max="16384" width="9" style="883"/>
  </cols>
  <sheetData>
    <row r="1" spans="2:17" ht="8.1999999999999993" customHeight="1" x14ac:dyDescent="0.25"/>
    <row r="2" spans="2:17" ht="20.3" x14ac:dyDescent="0.35">
      <c r="B2" s="884" t="s">
        <v>1028</v>
      </c>
    </row>
    <row r="4" spans="2:17" ht="30.8" customHeight="1" x14ac:dyDescent="0.25">
      <c r="B4" s="1222" t="s">
        <v>812</v>
      </c>
      <c r="C4" s="1222"/>
      <c r="D4" s="1222"/>
      <c r="E4" s="1222"/>
      <c r="F4" s="1222"/>
      <c r="G4" s="1222"/>
      <c r="I4" s="1222" t="s">
        <v>813</v>
      </c>
      <c r="J4" s="1222"/>
      <c r="K4" s="1222"/>
      <c r="L4" s="1222"/>
      <c r="M4" s="1222"/>
      <c r="N4" s="1222"/>
      <c r="P4" s="1223" t="s">
        <v>801</v>
      </c>
      <c r="Q4" s="1223"/>
    </row>
    <row r="5" spans="2:17" x14ac:dyDescent="0.25">
      <c r="B5" s="885" t="s">
        <v>802</v>
      </c>
      <c r="C5" s="886" t="s">
        <v>538</v>
      </c>
      <c r="D5" s="886" t="s">
        <v>541</v>
      </c>
      <c r="E5" s="885" t="s">
        <v>540</v>
      </c>
      <c r="F5" s="886" t="s">
        <v>542</v>
      </c>
      <c r="G5" s="886" t="s">
        <v>537</v>
      </c>
      <c r="I5" s="885" t="s">
        <v>802</v>
      </c>
      <c r="J5" s="887" t="s">
        <v>538</v>
      </c>
      <c r="K5" s="886" t="s">
        <v>541</v>
      </c>
      <c r="L5" s="885" t="s">
        <v>540</v>
      </c>
      <c r="M5" s="887" t="s">
        <v>542</v>
      </c>
      <c r="N5" s="887" t="s">
        <v>537</v>
      </c>
      <c r="P5" s="886" t="s">
        <v>238</v>
      </c>
      <c r="Q5" s="885" t="s">
        <v>1</v>
      </c>
    </row>
    <row r="6" spans="2:17" ht="14.25" customHeight="1" x14ac:dyDescent="0.25">
      <c r="B6" s="888">
        <v>2019</v>
      </c>
      <c r="C6" s="889">
        <f>INDEX(Vehicle.Em!$C$7:$I$44,MATCH($B6,Vehicle.Em!$B$7:$B$44,0),MATCH(C$5,Vehicle.Em!$C$6:$I$6,0))</f>
        <v>0.22421922320434318</v>
      </c>
      <c r="D6" s="889">
        <f>INDEX(Vehicle.Em!$C$7:$I$44,MATCH($B6,Vehicle.Em!$B$7:$B$44,0),MATCH(D$5,Vehicle.Em!$C$6:$I$6,0))</f>
        <v>4.7358764858336101E-2</v>
      </c>
      <c r="E6" s="889">
        <f>INDEX(Vehicle.Em!$C$7:$I$44,MATCH($B6,Vehicle.Em!$B$7:$B$44,0),MATCH(E$5,Vehicle.Em!$C$6:$I$6,0))</f>
        <v>4.7267157663327406E-3</v>
      </c>
      <c r="F6" s="889">
        <f>INDEX(Vehicle.Em!$C$7:$I$44,MATCH($B6,Vehicle.Em!$B$7:$B$44,0),MATCH(F$5,Vehicle.Em!$C$6:$I$6,0))</f>
        <v>5.7863661044393645E-3</v>
      </c>
      <c r="G6" s="895">
        <f>INDEX(Vehicle.Em!$C$7:$I$44,MATCH($B6,Vehicle.Em!$B$7:$B$44,0),MATCH(G$5,Vehicle.Em!$C$6:$I$6,0))</f>
        <v>346.50724525451602</v>
      </c>
      <c r="I6" s="888">
        <v>2019</v>
      </c>
      <c r="J6" s="889">
        <f>INDEX(Vehicle.Em!$L$7:$R$44,MATCH($I6,Vehicle.Em!$K$7:$K$44,0),MATCH(J$5,Vehicle.Em!$L$6:$R$6,0))</f>
        <v>4.9672556335651246</v>
      </c>
      <c r="K6" s="889">
        <f>INDEX(Vehicle.Em!$L$7:$R$44,MATCH($I6,Vehicle.Em!$K$7:$K$44,0),MATCH(K$5,Vehicle.Em!$L$6:$R$6,0))</f>
        <v>0.38672459558438249</v>
      </c>
      <c r="L6" s="889">
        <f>INDEX(Vehicle.Em!$L$7:$R$44,MATCH($I6,Vehicle.Em!$K$7:$K$44,0),MATCH(L$5,Vehicle.Em!$L$6:$R$6,0))</f>
        <v>0.2670554538970461</v>
      </c>
      <c r="M6" s="889">
        <f>INDEX(Vehicle.Em!$L$7:$R$44,MATCH($I6,Vehicle.Em!$K$7:$K$44,0),MATCH(M$5,Vehicle.Em!$L$6:$R$6,0))</f>
        <v>1.4374717269674826E-2</v>
      </c>
      <c r="N6" s="895">
        <f>INDEX(Vehicle.Em!$L$7:$R$44,MATCH($I6,Vehicle.Em!$K$7:$K$44,0),MATCH(N$5,Vehicle.Em!$L$6:$R$6,0))</f>
        <v>1692.2151500701871</v>
      </c>
      <c r="P6" s="1095">
        <v>2019</v>
      </c>
      <c r="Q6" s="890">
        <f>SUMIFS('EMISSION COSTS'!$G$98:$G$131,'EMISSION COSTS'!$D$98:$D$131,P6)</f>
        <v>0.90718469999999996</v>
      </c>
    </row>
    <row r="7" spans="2:17" x14ac:dyDescent="0.25">
      <c r="B7" s="888">
        <f>B6+1</f>
        <v>2020</v>
      </c>
      <c r="C7" s="889">
        <f>INDEX(Vehicle.Em!$C$7:$I$44,MATCH($B7,Vehicle.Em!$B$7:$B$44,0),MATCH(C$5,Vehicle.Em!$C$6:$I$6,0))</f>
        <v>0.19839267167509395</v>
      </c>
      <c r="D7" s="889">
        <f>INDEX(Vehicle.Em!$C$7:$I$44,MATCH($B7,Vehicle.Em!$B$7:$B$44,0),MATCH(D$5,Vehicle.Em!$C$6:$I$6,0))</f>
        <v>4.1911473668551441E-2</v>
      </c>
      <c r="E7" s="889">
        <f>INDEX(Vehicle.Em!$C$7:$I$44,MATCH($B7,Vehicle.Em!$B$7:$B$44,0),MATCH(E$5,Vehicle.Em!$C$6:$I$6,0))</f>
        <v>4.4438695774260796E-3</v>
      </c>
      <c r="F7" s="889">
        <f>INDEX(Vehicle.Em!$C$7:$I$44,MATCH($B7,Vehicle.Em!$B$7:$B$44,0),MATCH(F$5,Vehicle.Em!$C$6:$I$6,0))</f>
        <v>5.227868986548854E-3</v>
      </c>
      <c r="G7" s="895">
        <f>INDEX(Vehicle.Em!$C$7:$I$44,MATCH($B7,Vehicle.Em!$B$7:$B$44,0),MATCH(G$5,Vehicle.Em!$C$6:$I$6,0))</f>
        <v>337.26149520873963</v>
      </c>
      <c r="I7" s="888">
        <f>I6+1</f>
        <v>2020</v>
      </c>
      <c r="J7" s="889">
        <f>INDEX(Vehicle.Em!$L$7:$R$44,MATCH($I7,Vehicle.Em!$K$7:$K$44,0),MATCH(J$5,Vehicle.Em!$L$6:$R$6,0))</f>
        <v>4.5677125512880554</v>
      </c>
      <c r="K7" s="889">
        <f>INDEX(Vehicle.Em!$L$7:$R$44,MATCH($I7,Vehicle.Em!$K$7:$K$44,0),MATCH(K$5,Vehicle.Em!$L$6:$R$6,0))</f>
        <v>0.35140793859318331</v>
      </c>
      <c r="L7" s="889">
        <f>INDEX(Vehicle.Em!$L$7:$R$44,MATCH($I7,Vehicle.Em!$K$7:$K$44,0),MATCH(L$5,Vehicle.Em!$L$6:$R$6,0))</f>
        <v>0.24127854890539283</v>
      </c>
      <c r="M7" s="889">
        <f>INDEX(Vehicle.Em!$L$7:$R$44,MATCH($I7,Vehicle.Em!$K$7:$K$44,0),MATCH(M$5,Vehicle.Em!$L$6:$R$6,0))</f>
        <v>1.4264060533605471E-2</v>
      </c>
      <c r="N7" s="895">
        <f>INDEX(Vehicle.Em!$L$7:$R$44,MATCH($I7,Vehicle.Em!$K$7:$K$44,0),MATCH(N$5,Vehicle.Em!$L$6:$R$6,0))</f>
        <v>1682.3369613647424</v>
      </c>
      <c r="P7" s="1095">
        <f t="shared" ref="P7:P41" si="0">P6+1</f>
        <v>2020</v>
      </c>
      <c r="Q7" s="890">
        <f>SUMIFS('EMISSION COSTS'!$G$98:$G$131,'EMISSION COSTS'!$D$98:$D$131,P7)</f>
        <v>0.90718469999999996</v>
      </c>
    </row>
    <row r="8" spans="2:17" x14ac:dyDescent="0.25">
      <c r="B8" s="888">
        <f t="shared" ref="B8:B41" si="1">B7+1</f>
        <v>2021</v>
      </c>
      <c r="C8" s="889">
        <f>INDEX(Vehicle.Em!$C$7:$I$44,MATCH($B8,Vehicle.Em!$B$7:$B$44,0),MATCH(C$5,Vehicle.Em!$C$6:$I$6,0))</f>
        <v>0.17256612014584471</v>
      </c>
      <c r="D8" s="889">
        <f>INDEX(Vehicle.Em!$C$7:$I$44,MATCH($B8,Vehicle.Em!$B$7:$B$44,0),MATCH(D$5,Vehicle.Em!$C$6:$I$6,0))</f>
        <v>3.6464182478766781E-2</v>
      </c>
      <c r="E8" s="889">
        <f>INDEX(Vehicle.Em!$C$7:$I$44,MATCH($B8,Vehicle.Em!$B$7:$B$44,0),MATCH(E$5,Vehicle.Em!$C$6:$I$6,0))</f>
        <v>4.1610233885194187E-3</v>
      </c>
      <c r="F8" s="889">
        <f>INDEX(Vehicle.Em!$C$7:$I$44,MATCH($B8,Vehicle.Em!$B$7:$B$44,0),MATCH(F$5,Vehicle.Em!$C$6:$I$6,0))</f>
        <v>4.6693718686583435E-3</v>
      </c>
      <c r="G8" s="895">
        <f>INDEX(Vehicle.Em!$C$7:$I$44,MATCH($B8,Vehicle.Em!$B$7:$B$44,0),MATCH(G$5,Vehicle.Em!$C$6:$I$6,0))</f>
        <v>328.01574516296324</v>
      </c>
      <c r="I8" s="888">
        <f t="shared" ref="I8:I41" si="2">I7+1</f>
        <v>2021</v>
      </c>
      <c r="J8" s="889">
        <f>INDEX(Vehicle.Em!$L$7:$R$44,MATCH($I8,Vehicle.Em!$K$7:$K$44,0),MATCH(J$5,Vehicle.Em!$L$6:$R$6,0))</f>
        <v>4.1681694690109863</v>
      </c>
      <c r="K8" s="889">
        <f>INDEX(Vehicle.Em!$L$7:$R$44,MATCH($I8,Vehicle.Em!$K$7:$K$44,0),MATCH(K$5,Vehicle.Em!$L$6:$R$6,0))</f>
        <v>0.31609128160198413</v>
      </c>
      <c r="L8" s="889">
        <f>INDEX(Vehicle.Em!$L$7:$R$44,MATCH($I8,Vehicle.Em!$K$7:$K$44,0),MATCH(L$5,Vehicle.Em!$L$6:$R$6,0))</f>
        <v>0.21550164391373955</v>
      </c>
      <c r="M8" s="889">
        <f>INDEX(Vehicle.Em!$L$7:$R$44,MATCH($I8,Vehicle.Em!$K$7:$K$44,0),MATCH(M$5,Vehicle.Em!$L$6:$R$6,0))</f>
        <v>1.4153403797536115E-2</v>
      </c>
      <c r="N8" s="895">
        <f>INDEX(Vehicle.Em!$L$7:$R$44,MATCH($I8,Vehicle.Em!$K$7:$K$44,0),MATCH(N$5,Vehicle.Em!$L$6:$R$6,0))</f>
        <v>1672.4587726592977</v>
      </c>
      <c r="P8" s="1095">
        <f t="shared" si="0"/>
        <v>2021</v>
      </c>
      <c r="Q8" s="890">
        <f>SUMIFS('EMISSION COSTS'!$G$98:$G$131,'EMISSION COSTS'!$D$98:$D$131,P8)</f>
        <v>0.90718469999999996</v>
      </c>
    </row>
    <row r="9" spans="2:17" x14ac:dyDescent="0.25">
      <c r="B9" s="888">
        <f t="shared" si="1"/>
        <v>2022</v>
      </c>
      <c r="C9" s="889">
        <f>INDEX(Vehicle.Em!$C$7:$I$44,MATCH($B9,Vehicle.Em!$B$7:$B$44,0),MATCH(C$5,Vehicle.Em!$C$6:$I$6,0))</f>
        <v>0.14673956861659548</v>
      </c>
      <c r="D9" s="889">
        <f>INDEX(Vehicle.Em!$C$7:$I$44,MATCH($B9,Vehicle.Em!$B$7:$B$44,0),MATCH(D$5,Vehicle.Em!$C$6:$I$6,0))</f>
        <v>3.1016891288982121E-2</v>
      </c>
      <c r="E9" s="889">
        <f>INDEX(Vehicle.Em!$C$7:$I$44,MATCH($B9,Vehicle.Em!$B$7:$B$44,0),MATCH(E$5,Vehicle.Em!$C$6:$I$6,0))</f>
        <v>3.8781771996127582E-3</v>
      </c>
      <c r="F9" s="889">
        <f>INDEX(Vehicle.Em!$C$7:$I$44,MATCH($B9,Vehicle.Em!$B$7:$B$44,0),MATCH(F$5,Vehicle.Em!$C$6:$I$6,0))</f>
        <v>4.1108747507678329E-3</v>
      </c>
      <c r="G9" s="895">
        <f>INDEX(Vehicle.Em!$C$7:$I$44,MATCH($B9,Vehicle.Em!$B$7:$B$44,0),MATCH(G$5,Vehicle.Em!$C$6:$I$6,0))</f>
        <v>318.76999511718685</v>
      </c>
      <c r="I9" s="888">
        <f t="shared" si="2"/>
        <v>2022</v>
      </c>
      <c r="J9" s="889">
        <f>INDEX(Vehicle.Em!$L$7:$R$44,MATCH($I9,Vehicle.Em!$K$7:$K$44,0),MATCH(J$5,Vehicle.Em!$L$6:$R$6,0))</f>
        <v>3.7686263867339176</v>
      </c>
      <c r="K9" s="889">
        <f>INDEX(Vehicle.Em!$L$7:$R$44,MATCH($I9,Vehicle.Em!$K$7:$K$44,0),MATCH(K$5,Vehicle.Em!$L$6:$R$6,0))</f>
        <v>0.28077462461078495</v>
      </c>
      <c r="L9" s="889">
        <f>INDEX(Vehicle.Em!$L$7:$R$44,MATCH($I9,Vehicle.Em!$K$7:$K$44,0),MATCH(L$5,Vehicle.Em!$L$6:$R$6,0))</f>
        <v>0.18972473892208627</v>
      </c>
      <c r="M9" s="889">
        <f>INDEX(Vehicle.Em!$L$7:$R$44,MATCH($I9,Vehicle.Em!$K$7:$K$44,0),MATCH(M$5,Vehicle.Em!$L$6:$R$6,0))</f>
        <v>1.404274706146676E-2</v>
      </c>
      <c r="N9" s="895">
        <f>INDEX(Vehicle.Em!$L$7:$R$44,MATCH($I9,Vehicle.Em!$K$7:$K$44,0),MATCH(N$5,Vehicle.Em!$L$6:$R$6,0))</f>
        <v>1662.580583953853</v>
      </c>
      <c r="P9" s="1095">
        <f t="shared" si="0"/>
        <v>2022</v>
      </c>
      <c r="Q9" s="890">
        <f>SUMIFS('EMISSION COSTS'!$G$98:$G$131,'EMISSION COSTS'!$D$98:$D$131,P9)</f>
        <v>0.90718469999999996</v>
      </c>
    </row>
    <row r="10" spans="2:17" x14ac:dyDescent="0.25">
      <c r="B10" s="888">
        <f t="shared" si="1"/>
        <v>2023</v>
      </c>
      <c r="C10" s="889">
        <f>INDEX(Vehicle.Em!$C$7:$I$44,MATCH($B10,Vehicle.Em!$B$7:$B$44,0),MATCH(C$5,Vehicle.Em!$C$6:$I$6,0))</f>
        <v>0.12091301708734625</v>
      </c>
      <c r="D10" s="889">
        <f>INDEX(Vehicle.Em!$C$7:$I$44,MATCH($B10,Vehicle.Em!$B$7:$B$44,0),MATCH(D$5,Vehicle.Em!$C$6:$I$6,0))</f>
        <v>2.5569600099197461E-2</v>
      </c>
      <c r="E10" s="889">
        <f>INDEX(Vehicle.Em!$C$7:$I$44,MATCH($B10,Vehicle.Em!$B$7:$B$44,0),MATCH(E$5,Vehicle.Em!$C$6:$I$6,0))</f>
        <v>3.5953310107060977E-3</v>
      </c>
      <c r="F10" s="889">
        <f>INDEX(Vehicle.Em!$C$7:$I$44,MATCH($B10,Vehicle.Em!$B$7:$B$44,0),MATCH(F$5,Vehicle.Em!$C$6:$I$6,0))</f>
        <v>3.5523776328773224E-3</v>
      </c>
      <c r="G10" s="895">
        <f>INDEX(Vehicle.Em!$C$7:$I$44,MATCH($B10,Vehicle.Em!$B$7:$B$44,0),MATCH(G$5,Vehicle.Em!$C$6:$I$6,0))</f>
        <v>309.52424507141046</v>
      </c>
      <c r="I10" s="888">
        <f t="shared" si="2"/>
        <v>2023</v>
      </c>
      <c r="J10" s="889">
        <f>INDEX(Vehicle.Em!$L$7:$R$44,MATCH($I10,Vehicle.Em!$K$7:$K$44,0),MATCH(J$5,Vehicle.Em!$L$6:$R$6,0))</f>
        <v>3.3690833044568489</v>
      </c>
      <c r="K10" s="889">
        <f>INDEX(Vehicle.Em!$L$7:$R$44,MATCH($I10,Vehicle.Em!$K$7:$K$44,0),MATCH(K$5,Vehicle.Em!$L$6:$R$6,0))</f>
        <v>0.24545796761958577</v>
      </c>
      <c r="L10" s="889">
        <f>INDEX(Vehicle.Em!$L$7:$R$44,MATCH($I10,Vehicle.Em!$K$7:$K$44,0),MATCH(L$5,Vehicle.Em!$L$6:$R$6,0))</f>
        <v>0.163947833930433</v>
      </c>
      <c r="M10" s="889">
        <f>INDEX(Vehicle.Em!$L$7:$R$44,MATCH($I10,Vehicle.Em!$K$7:$K$44,0),MATCH(M$5,Vehicle.Em!$L$6:$R$6,0))</f>
        <v>1.3932090325397405E-2</v>
      </c>
      <c r="N10" s="895">
        <f>INDEX(Vehicle.Em!$L$7:$R$44,MATCH($I10,Vehicle.Em!$K$7:$K$44,0),MATCH(N$5,Vehicle.Em!$L$6:$R$6,0))</f>
        <v>1652.7023952484083</v>
      </c>
      <c r="P10" s="1095">
        <f t="shared" si="0"/>
        <v>2023</v>
      </c>
      <c r="Q10" s="890">
        <f>SUMIFS('EMISSION COSTS'!$G$98:$G$131,'EMISSION COSTS'!$D$98:$D$131,P10)</f>
        <v>0.90718469999999996</v>
      </c>
    </row>
    <row r="11" spans="2:17" x14ac:dyDescent="0.25">
      <c r="B11" s="888">
        <f t="shared" si="1"/>
        <v>2024</v>
      </c>
      <c r="C11" s="889">
        <f>INDEX(Vehicle.Em!$C$7:$I$44,MATCH($B11,Vehicle.Em!$B$7:$B$44,0),MATCH(C$5,Vehicle.Em!$C$6:$I$6,0))</f>
        <v>9.5086465558097022E-2</v>
      </c>
      <c r="D11" s="889">
        <f>INDEX(Vehicle.Em!$C$7:$I$44,MATCH($B11,Vehicle.Em!$B$7:$B$44,0),MATCH(D$5,Vehicle.Em!$C$6:$I$6,0))</f>
        <v>2.01223089094128E-2</v>
      </c>
      <c r="E11" s="889">
        <f>INDEX(Vehicle.Em!$C$7:$I$44,MATCH($B11,Vehicle.Em!$B$7:$B$44,0),MATCH(E$5,Vehicle.Em!$C$6:$I$6,0))</f>
        <v>3.3124848217994372E-3</v>
      </c>
      <c r="F11" s="889">
        <f>INDEX(Vehicle.Em!$C$7:$I$44,MATCH($B11,Vehicle.Em!$B$7:$B$44,0),MATCH(F$5,Vehicle.Em!$C$6:$I$6,0))</f>
        <v>2.9938805149868119E-3</v>
      </c>
      <c r="G11" s="895">
        <f>INDEX(Vehicle.Em!$C$7:$I$44,MATCH($B11,Vehicle.Em!$B$7:$B$44,0),MATCH(G$5,Vehicle.Em!$C$6:$I$6,0))</f>
        <v>300.27849502563407</v>
      </c>
      <c r="I11" s="888">
        <f t="shared" si="2"/>
        <v>2024</v>
      </c>
      <c r="J11" s="889">
        <f>INDEX(Vehicle.Em!$L$7:$R$44,MATCH($I11,Vehicle.Em!$K$7:$K$44,0),MATCH(J$5,Vehicle.Em!$L$6:$R$6,0))</f>
        <v>2.9695402221797802</v>
      </c>
      <c r="K11" s="889">
        <f>INDEX(Vehicle.Em!$L$7:$R$44,MATCH($I11,Vehicle.Em!$K$7:$K$44,0),MATCH(K$5,Vehicle.Em!$L$6:$R$6,0))</f>
        <v>0.21014131062838659</v>
      </c>
      <c r="L11" s="889">
        <f>INDEX(Vehicle.Em!$L$7:$R$44,MATCH($I11,Vehicle.Em!$K$7:$K$44,0),MATCH(L$5,Vehicle.Em!$L$6:$R$6,0))</f>
        <v>0.13817092893877972</v>
      </c>
      <c r="M11" s="889">
        <f>INDEX(Vehicle.Em!$L$7:$R$44,MATCH($I11,Vehicle.Em!$K$7:$K$44,0),MATCH(M$5,Vehicle.Em!$L$6:$R$6,0))</f>
        <v>1.3821433589328049E-2</v>
      </c>
      <c r="N11" s="895">
        <f>INDEX(Vehicle.Em!$L$7:$R$44,MATCH($I11,Vehicle.Em!$K$7:$K$44,0),MATCH(N$5,Vehicle.Em!$L$6:$R$6,0))</f>
        <v>1642.8242065429636</v>
      </c>
      <c r="P11" s="1095">
        <f t="shared" si="0"/>
        <v>2024</v>
      </c>
      <c r="Q11" s="890">
        <f>SUMIFS('EMISSION COSTS'!$G$98:$G$131,'EMISSION COSTS'!$D$98:$D$131,P11)</f>
        <v>0.90718469999999996</v>
      </c>
    </row>
    <row r="12" spans="2:17" x14ac:dyDescent="0.25">
      <c r="B12" s="888">
        <f t="shared" si="1"/>
        <v>2025</v>
      </c>
      <c r="C12" s="889">
        <f>INDEX(Vehicle.Em!$C$7:$I$44,MATCH($B12,Vehicle.Em!$B$7:$B$44,0),MATCH(C$5,Vehicle.Em!$C$6:$I$6,0))</f>
        <v>4.343336249959856E-2</v>
      </c>
      <c r="D12" s="889">
        <f>INDEX(Vehicle.Em!$C$7:$I$44,MATCH($B12,Vehicle.Em!$B$7:$B$44,0),MATCH(D$5,Vehicle.Em!$C$6:$I$6,0))</f>
        <v>9.2277265298434767E-3</v>
      </c>
      <c r="E12" s="889">
        <f>INDEX(Vehicle.Em!$C$7:$I$44,MATCH($B12,Vehicle.Em!$B$7:$B$44,0),MATCH(E$5,Vehicle.Em!$C$6:$I$6,0))</f>
        <v>2.7467924439861166E-3</v>
      </c>
      <c r="F12" s="889">
        <f>INDEX(Vehicle.Em!$C$7:$I$44,MATCH($B12,Vehicle.Em!$B$7:$B$44,0),MATCH(F$5,Vehicle.Em!$C$6:$I$6,0))</f>
        <v>1.8768862792057886E-3</v>
      </c>
      <c r="G12" s="895">
        <f>INDEX(Vehicle.Em!$C$7:$I$44,MATCH($B12,Vehicle.Em!$B$7:$B$44,0),MATCH(G$5,Vehicle.Em!$C$6:$I$6,0))</f>
        <v>281.78699493408141</v>
      </c>
      <c r="I12" s="888">
        <f t="shared" si="2"/>
        <v>2025</v>
      </c>
      <c r="J12" s="889">
        <f>INDEX(Vehicle.Em!$L$7:$R$44,MATCH($I12,Vehicle.Em!$K$7:$K$44,0),MATCH(J$5,Vehicle.Em!$L$6:$R$6,0))</f>
        <v>2.1704540576256446</v>
      </c>
      <c r="K12" s="889">
        <f>INDEX(Vehicle.Em!$L$7:$R$44,MATCH($I12,Vehicle.Em!$K$7:$K$44,0),MATCH(K$5,Vehicle.Em!$L$6:$R$6,0))</f>
        <v>0.1395079966459882</v>
      </c>
      <c r="L12" s="889">
        <f>INDEX(Vehicle.Em!$L$7:$R$44,MATCH($I12,Vehicle.Em!$K$7:$K$44,0),MATCH(L$5,Vehicle.Em!$L$6:$R$6,0))</f>
        <v>8.6617118955473207E-2</v>
      </c>
      <c r="M12" s="889">
        <f>INDEX(Vehicle.Em!$L$7:$R$44,MATCH($I12,Vehicle.Em!$K$7:$K$44,0),MATCH(M$5,Vehicle.Em!$L$6:$R$6,0))</f>
        <v>1.360012011718933E-2</v>
      </c>
      <c r="N12" s="895">
        <f>INDEX(Vehicle.Em!$L$7:$R$44,MATCH($I12,Vehicle.Em!$K$7:$K$44,0),MATCH(N$5,Vehicle.Em!$L$6:$R$6,0))</f>
        <v>1623.0678291320751</v>
      </c>
      <c r="P12" s="1095">
        <f t="shared" si="0"/>
        <v>2025</v>
      </c>
      <c r="Q12" s="890">
        <f>SUMIFS('EMISSION COSTS'!$G$98:$G$131,'EMISSION COSTS'!$D$98:$D$131,P12)</f>
        <v>0.90718469999999996</v>
      </c>
    </row>
    <row r="13" spans="2:17" x14ac:dyDescent="0.25">
      <c r="B13" s="888">
        <f t="shared" si="1"/>
        <v>2026</v>
      </c>
      <c r="C13" s="889">
        <f>INDEX(Vehicle.Em!$C$7:$I$44,MATCH($B13,Vehicle.Em!$B$7:$B$44,0),MATCH(C$5,Vehicle.Em!$C$6:$I$6,0))</f>
        <v>4.0669124643229866E-2</v>
      </c>
      <c r="D13" s="889">
        <f>INDEX(Vehicle.Em!$C$7:$I$44,MATCH($B13,Vehicle.Em!$B$7:$B$44,0),MATCH(D$5,Vehicle.Em!$C$6:$I$6,0))</f>
        <v>8.7396947470882395E-3</v>
      </c>
      <c r="E13" s="889">
        <f>INDEX(Vehicle.Em!$C$7:$I$44,MATCH($B13,Vehicle.Em!$B$7:$B$44,0),MATCH(E$5,Vehicle.Em!$C$6:$I$6,0))</f>
        <v>2.6585959942415369E-3</v>
      </c>
      <c r="F13" s="889">
        <f>INDEX(Vehicle.Em!$C$7:$I$44,MATCH($B13,Vehicle.Em!$B$7:$B$44,0),MATCH(F$5,Vehicle.Em!$C$6:$I$6,0))</f>
        <v>1.8382103682432125E-3</v>
      </c>
      <c r="G13" s="895">
        <f>INDEX(Vehicle.Em!$C$7:$I$44,MATCH($B13,Vehicle.Em!$B$7:$B$44,0),MATCH(G$5,Vehicle.Em!$C$6:$I$6,0))</f>
        <v>275.89749509637943</v>
      </c>
      <c r="I13" s="888">
        <f t="shared" si="2"/>
        <v>2026</v>
      </c>
      <c r="J13" s="889">
        <f>INDEX(Vehicle.Em!$L$7:$R$44,MATCH($I13,Vehicle.Em!$K$7:$K$44,0),MATCH(J$5,Vehicle.Em!$L$6:$R$6,0))</f>
        <v>2.0906059608620566</v>
      </c>
      <c r="K13" s="889">
        <f>INDEX(Vehicle.Em!$L$7:$R$44,MATCH($I13,Vehicle.Em!$K$7:$K$44,0),MATCH(K$5,Vehicle.Em!$L$6:$R$6,0))</f>
        <v>0.13290501357839771</v>
      </c>
      <c r="L13" s="889">
        <f>INDEX(Vehicle.Em!$L$7:$R$44,MATCH($I13,Vehicle.Em!$K$7:$K$44,0),MATCH(L$5,Vehicle.Em!$L$6:$R$6,0))</f>
        <v>8.1595335956080622E-2</v>
      </c>
      <c r="M13" s="889">
        <f>INDEX(Vehicle.Em!$L$7:$R$44,MATCH($I13,Vehicle.Em!$K$7:$K$44,0),MATCH(M$5,Vehicle.Em!$L$6:$R$6,0))</f>
        <v>1.357006216262972E-2</v>
      </c>
      <c r="N13" s="895">
        <f>INDEX(Vehicle.Em!$L$7:$R$44,MATCH($I13,Vehicle.Em!$K$7:$K$44,0),MATCH(N$5,Vehicle.Em!$L$6:$R$6,0))</f>
        <v>1620.1800159107506</v>
      </c>
      <c r="P13" s="1095">
        <f t="shared" si="0"/>
        <v>2026</v>
      </c>
      <c r="Q13" s="890">
        <f>SUMIFS('EMISSION COSTS'!$G$98:$G$131,'EMISSION COSTS'!$D$98:$D$131,P13)</f>
        <v>0.90718469999999996</v>
      </c>
    </row>
    <row r="14" spans="2:17" x14ac:dyDescent="0.25">
      <c r="B14" s="888">
        <f t="shared" si="1"/>
        <v>2027</v>
      </c>
      <c r="C14" s="889">
        <f>INDEX(Vehicle.Em!$C$7:$I$44,MATCH($B14,Vehicle.Em!$B$7:$B$44,0),MATCH(C$5,Vehicle.Em!$C$6:$I$6,0))</f>
        <v>3.7904886786861172E-2</v>
      </c>
      <c r="D14" s="889">
        <f>INDEX(Vehicle.Em!$C$7:$I$44,MATCH($B14,Vehicle.Em!$B$7:$B$44,0),MATCH(D$5,Vehicle.Em!$C$6:$I$6,0))</f>
        <v>8.2516629643330022E-3</v>
      </c>
      <c r="E14" s="889">
        <f>INDEX(Vehicle.Em!$C$7:$I$44,MATCH($B14,Vehicle.Em!$B$7:$B$44,0),MATCH(E$5,Vehicle.Em!$C$6:$I$6,0))</f>
        <v>2.5703995444969572E-3</v>
      </c>
      <c r="F14" s="889">
        <f>INDEX(Vehicle.Em!$C$7:$I$44,MATCH($B14,Vehicle.Em!$B$7:$B$44,0),MATCH(F$5,Vehicle.Em!$C$6:$I$6,0))</f>
        <v>1.7995344572806363E-3</v>
      </c>
      <c r="G14" s="895">
        <f>INDEX(Vehicle.Em!$C$7:$I$44,MATCH($B14,Vehicle.Em!$B$7:$B$44,0),MATCH(G$5,Vehicle.Em!$C$6:$I$6,0))</f>
        <v>270.00799525867745</v>
      </c>
      <c r="I14" s="888">
        <f t="shared" si="2"/>
        <v>2027</v>
      </c>
      <c r="J14" s="889">
        <f>INDEX(Vehicle.Em!$L$7:$R$44,MATCH($I14,Vehicle.Em!$K$7:$K$44,0),MATCH(J$5,Vehicle.Em!$L$6:$R$6,0))</f>
        <v>2.0107578640984691</v>
      </c>
      <c r="K14" s="889">
        <f>INDEX(Vehicle.Em!$L$7:$R$44,MATCH($I14,Vehicle.Em!$K$7:$K$44,0),MATCH(K$5,Vehicle.Em!$L$6:$R$6,0))</f>
        <v>0.12630203051080721</v>
      </c>
      <c r="L14" s="889">
        <f>INDEX(Vehicle.Em!$L$7:$R$44,MATCH($I14,Vehicle.Em!$K$7:$K$44,0),MATCH(L$5,Vehicle.Em!$L$6:$R$6,0))</f>
        <v>7.6573552956688037E-2</v>
      </c>
      <c r="M14" s="889">
        <f>INDEX(Vehicle.Em!$L$7:$R$44,MATCH($I14,Vehicle.Em!$K$7:$K$44,0),MATCH(M$5,Vehicle.Em!$L$6:$R$6,0))</f>
        <v>1.3540004208070109E-2</v>
      </c>
      <c r="N14" s="895">
        <f>INDEX(Vehicle.Em!$L$7:$R$44,MATCH($I14,Vehicle.Em!$K$7:$K$44,0),MATCH(N$5,Vehicle.Em!$L$6:$R$6,0))</f>
        <v>1617.2922026894262</v>
      </c>
      <c r="P14" s="1095">
        <f t="shared" si="0"/>
        <v>2027</v>
      </c>
      <c r="Q14" s="890">
        <f>SUMIFS('EMISSION COSTS'!$G$98:$G$131,'EMISSION COSTS'!$D$98:$D$131,P14)</f>
        <v>0.90718469999999996</v>
      </c>
    </row>
    <row r="15" spans="2:17" x14ac:dyDescent="0.25">
      <c r="B15" s="888">
        <f t="shared" si="1"/>
        <v>2028</v>
      </c>
      <c r="C15" s="889">
        <f>INDEX(Vehicle.Em!$C$7:$I$44,MATCH($B15,Vehicle.Em!$B$7:$B$44,0),MATCH(C$5,Vehicle.Em!$C$6:$I$6,0))</f>
        <v>3.5140648930492478E-2</v>
      </c>
      <c r="D15" s="889">
        <f>INDEX(Vehicle.Em!$C$7:$I$44,MATCH($B15,Vehicle.Em!$B$7:$B$44,0),MATCH(D$5,Vehicle.Em!$C$6:$I$6,0))</f>
        <v>7.7636311815777641E-3</v>
      </c>
      <c r="E15" s="889">
        <f>INDEX(Vehicle.Em!$C$7:$I$44,MATCH($B15,Vehicle.Em!$B$7:$B$44,0),MATCH(E$5,Vehicle.Em!$C$6:$I$6,0))</f>
        <v>2.4822030947523775E-3</v>
      </c>
      <c r="F15" s="889">
        <f>INDEX(Vehicle.Em!$C$7:$I$44,MATCH($B15,Vehicle.Em!$B$7:$B$44,0),MATCH(F$5,Vehicle.Em!$C$6:$I$6,0))</f>
        <v>1.7608585463180601E-3</v>
      </c>
      <c r="G15" s="895">
        <f>INDEX(Vehicle.Em!$C$7:$I$44,MATCH($B15,Vehicle.Em!$B$7:$B$44,0),MATCH(G$5,Vehicle.Em!$C$6:$I$6,0))</f>
        <v>264.11849542097548</v>
      </c>
      <c r="I15" s="888">
        <f t="shared" si="2"/>
        <v>2028</v>
      </c>
      <c r="J15" s="889">
        <f>INDEX(Vehicle.Em!$L$7:$R$44,MATCH($I15,Vehicle.Em!$K$7:$K$44,0),MATCH(J$5,Vehicle.Em!$L$6:$R$6,0))</f>
        <v>1.9309097673348814</v>
      </c>
      <c r="K15" s="889">
        <f>INDEX(Vehicle.Em!$L$7:$R$44,MATCH($I15,Vehicle.Em!$K$7:$K$44,0),MATCH(K$5,Vehicle.Em!$L$6:$R$6,0))</f>
        <v>0.11969904744321672</v>
      </c>
      <c r="L15" s="889">
        <f>INDEX(Vehicle.Em!$L$7:$R$44,MATCH($I15,Vehicle.Em!$K$7:$K$44,0),MATCH(L$5,Vehicle.Em!$L$6:$R$6,0))</f>
        <v>7.1551769957295452E-2</v>
      </c>
      <c r="M15" s="889">
        <f>INDEX(Vehicle.Em!$L$7:$R$44,MATCH($I15,Vehicle.Em!$K$7:$K$44,0),MATCH(M$5,Vehicle.Em!$L$6:$R$6,0))</f>
        <v>1.3509946253510499E-2</v>
      </c>
      <c r="N15" s="895">
        <f>INDEX(Vehicle.Em!$L$7:$R$44,MATCH($I15,Vehicle.Em!$K$7:$K$44,0),MATCH(N$5,Vehicle.Em!$L$6:$R$6,0))</f>
        <v>1614.4043894681017</v>
      </c>
      <c r="P15" s="1095">
        <f t="shared" si="0"/>
        <v>2028</v>
      </c>
      <c r="Q15" s="890">
        <f>SUMIFS('EMISSION COSTS'!$G$98:$G$131,'EMISSION COSTS'!$D$98:$D$131,P15)</f>
        <v>0.90718469999999996</v>
      </c>
    </row>
    <row r="16" spans="2:17" x14ac:dyDescent="0.25">
      <c r="B16" s="888">
        <f t="shared" si="1"/>
        <v>2029</v>
      </c>
      <c r="C16" s="889">
        <f>INDEX(Vehicle.Em!$C$7:$I$44,MATCH($B16,Vehicle.Em!$B$7:$B$44,0),MATCH(C$5,Vehicle.Em!$C$6:$I$6,0))</f>
        <v>3.2376411074123784E-2</v>
      </c>
      <c r="D16" s="889">
        <f>INDEX(Vehicle.Em!$C$7:$I$44,MATCH($B16,Vehicle.Em!$B$7:$B$44,0),MATCH(D$5,Vehicle.Em!$C$6:$I$6,0))</f>
        <v>7.275599398822526E-3</v>
      </c>
      <c r="E16" s="889">
        <f>INDEX(Vehicle.Em!$C$7:$I$44,MATCH($B16,Vehicle.Em!$B$7:$B$44,0),MATCH(E$5,Vehicle.Em!$C$6:$I$6,0))</f>
        <v>2.3940066450077978E-3</v>
      </c>
      <c r="F16" s="889">
        <f>INDEX(Vehicle.Em!$C$7:$I$44,MATCH($B16,Vehicle.Em!$B$7:$B$44,0),MATCH(F$5,Vehicle.Em!$C$6:$I$6,0))</f>
        <v>1.722182635355484E-3</v>
      </c>
      <c r="G16" s="895">
        <f>INDEX(Vehicle.Em!$C$7:$I$44,MATCH($B16,Vehicle.Em!$B$7:$B$44,0),MATCH(G$5,Vehicle.Em!$C$6:$I$6,0))</f>
        <v>258.2289955832735</v>
      </c>
      <c r="I16" s="888">
        <f t="shared" si="2"/>
        <v>2029</v>
      </c>
      <c r="J16" s="889">
        <f>INDEX(Vehicle.Em!$L$7:$R$44,MATCH($I16,Vehicle.Em!$K$7:$K$44,0),MATCH(J$5,Vehicle.Em!$L$6:$R$6,0))</f>
        <v>1.8510616705712937</v>
      </c>
      <c r="K16" s="889">
        <f>INDEX(Vehicle.Em!$L$7:$R$44,MATCH($I16,Vehicle.Em!$K$7:$K$44,0),MATCH(K$5,Vehicle.Em!$L$6:$R$6,0))</f>
        <v>0.11309606437562622</v>
      </c>
      <c r="L16" s="889">
        <f>INDEX(Vehicle.Em!$L$7:$R$44,MATCH($I16,Vehicle.Em!$K$7:$K$44,0),MATCH(L$5,Vehicle.Em!$L$6:$R$6,0))</f>
        <v>6.6529986957902867E-2</v>
      </c>
      <c r="M16" s="889">
        <f>INDEX(Vehicle.Em!$L$7:$R$44,MATCH($I16,Vehicle.Em!$K$7:$K$44,0),MATCH(M$5,Vehicle.Em!$L$6:$R$6,0))</f>
        <v>1.3479888298950889E-2</v>
      </c>
      <c r="N16" s="895">
        <f>INDEX(Vehicle.Em!$L$7:$R$44,MATCH($I16,Vehicle.Em!$K$7:$K$44,0),MATCH(N$5,Vehicle.Em!$L$6:$R$6,0))</f>
        <v>1611.5165762467773</v>
      </c>
      <c r="P16" s="1095">
        <f t="shared" si="0"/>
        <v>2029</v>
      </c>
      <c r="Q16" s="890">
        <f>SUMIFS('EMISSION COSTS'!$G$98:$G$131,'EMISSION COSTS'!$D$98:$D$131,P16)</f>
        <v>0.90718469999999996</v>
      </c>
    </row>
    <row r="17" spans="2:17" x14ac:dyDescent="0.25">
      <c r="B17" s="888">
        <f t="shared" si="1"/>
        <v>2030</v>
      </c>
      <c r="C17" s="889">
        <f>INDEX(Vehicle.Em!$C$7:$I$44,MATCH($B17,Vehicle.Em!$B$7:$B$44,0),MATCH(C$5,Vehicle.Em!$C$6:$I$6,0))</f>
        <v>2.961217321775509E-2</v>
      </c>
      <c r="D17" s="889">
        <f>INDEX(Vehicle.Em!$C$7:$I$44,MATCH($B17,Vehicle.Em!$B$7:$B$44,0),MATCH(D$5,Vehicle.Em!$C$6:$I$6,0))</f>
        <v>6.7875676160672879E-3</v>
      </c>
      <c r="E17" s="889">
        <f>INDEX(Vehicle.Em!$C$7:$I$44,MATCH($B17,Vehicle.Em!$B$7:$B$44,0),MATCH(E$5,Vehicle.Em!$C$6:$I$6,0))</f>
        <v>2.3058101952632181E-3</v>
      </c>
      <c r="F17" s="889">
        <f>INDEX(Vehicle.Em!$C$7:$I$44,MATCH($B17,Vehicle.Em!$B$7:$B$44,0),MATCH(F$5,Vehicle.Em!$C$6:$I$6,0))</f>
        <v>1.6835067243929078E-3</v>
      </c>
      <c r="G17" s="895">
        <f>INDEX(Vehicle.Em!$C$7:$I$44,MATCH($B17,Vehicle.Em!$B$7:$B$44,0),MATCH(G$5,Vehicle.Em!$C$6:$I$6,0))</f>
        <v>252.33949574557153</v>
      </c>
      <c r="I17" s="888">
        <f t="shared" si="2"/>
        <v>2030</v>
      </c>
      <c r="J17" s="889">
        <f>INDEX(Vehicle.Em!$L$7:$R$44,MATCH($I17,Vehicle.Em!$K$7:$K$44,0),MATCH(J$5,Vehicle.Em!$L$6:$R$6,0))</f>
        <v>1.7712135738077059</v>
      </c>
      <c r="K17" s="889">
        <f>INDEX(Vehicle.Em!$L$7:$R$44,MATCH($I17,Vehicle.Em!$K$7:$K$44,0),MATCH(K$5,Vehicle.Em!$L$6:$R$6,0))</f>
        <v>0.10649308130803573</v>
      </c>
      <c r="L17" s="889">
        <f>INDEX(Vehicle.Em!$L$7:$R$44,MATCH($I17,Vehicle.Em!$K$7:$K$44,0),MATCH(L$5,Vehicle.Em!$L$6:$R$6,0))</f>
        <v>6.1508203958510282E-2</v>
      </c>
      <c r="M17" s="889">
        <f>INDEX(Vehicle.Em!$L$7:$R$44,MATCH($I17,Vehicle.Em!$K$7:$K$44,0),MATCH(M$5,Vehicle.Em!$L$6:$R$6,0))</f>
        <v>1.3449830344391279E-2</v>
      </c>
      <c r="N17" s="895">
        <f>INDEX(Vehicle.Em!$L$7:$R$44,MATCH($I17,Vehicle.Em!$K$7:$K$44,0),MATCH(N$5,Vehicle.Em!$L$6:$R$6,0))</f>
        <v>1608.6287630254528</v>
      </c>
      <c r="P17" s="1095">
        <f t="shared" si="0"/>
        <v>2030</v>
      </c>
      <c r="Q17" s="890">
        <f>SUMIFS('EMISSION COSTS'!$G$98:$G$131,'EMISSION COSTS'!$D$98:$D$131,P17)</f>
        <v>0.90718469999999996</v>
      </c>
    </row>
    <row r="18" spans="2:17" x14ac:dyDescent="0.25">
      <c r="B18" s="888">
        <f t="shared" si="1"/>
        <v>2031</v>
      </c>
      <c r="C18" s="889">
        <f>INDEX(Vehicle.Em!$C$7:$I$44,MATCH($B18,Vehicle.Em!$B$7:$B$44,0),MATCH(C$5,Vehicle.Em!$C$6:$I$6,0))</f>
        <v>2.6847935361386396E-2</v>
      </c>
      <c r="D18" s="889">
        <f>INDEX(Vehicle.Em!$C$7:$I$44,MATCH($B18,Vehicle.Em!$B$7:$B$44,0),MATCH(D$5,Vehicle.Em!$C$6:$I$6,0))</f>
        <v>6.2995358333120498E-3</v>
      </c>
      <c r="E18" s="889">
        <f>INDEX(Vehicle.Em!$C$7:$I$44,MATCH($B18,Vehicle.Em!$B$7:$B$44,0),MATCH(E$5,Vehicle.Em!$C$6:$I$6,0))</f>
        <v>2.2176137455186384E-3</v>
      </c>
      <c r="F18" s="889">
        <f>INDEX(Vehicle.Em!$C$7:$I$44,MATCH($B18,Vehicle.Em!$B$7:$B$44,0),MATCH(F$5,Vehicle.Em!$C$6:$I$6,0))</f>
        <v>1.6448308134303317E-3</v>
      </c>
      <c r="G18" s="895">
        <f>INDEX(Vehicle.Em!$C$7:$I$44,MATCH($B18,Vehicle.Em!$B$7:$B$44,0),MATCH(G$5,Vehicle.Em!$C$6:$I$6,0))</f>
        <v>246.44999590786955</v>
      </c>
      <c r="I18" s="888">
        <f t="shared" si="2"/>
        <v>2031</v>
      </c>
      <c r="J18" s="889">
        <f>INDEX(Vehicle.Em!$L$7:$R$44,MATCH($I18,Vehicle.Em!$K$7:$K$44,0),MATCH(J$5,Vehicle.Em!$L$6:$R$6,0))</f>
        <v>1.6913654770441182</v>
      </c>
      <c r="K18" s="889">
        <f>INDEX(Vehicle.Em!$L$7:$R$44,MATCH($I18,Vehicle.Em!$K$7:$K$44,0),MATCH(K$5,Vehicle.Em!$L$6:$R$6,0))</f>
        <v>9.989009824044523E-2</v>
      </c>
      <c r="L18" s="889">
        <f>INDEX(Vehicle.Em!$L$7:$R$44,MATCH($I18,Vehicle.Em!$K$7:$K$44,0),MATCH(L$5,Vehicle.Em!$L$6:$R$6,0))</f>
        <v>5.6486420959117697E-2</v>
      </c>
      <c r="M18" s="889">
        <f>INDEX(Vehicle.Em!$L$7:$R$44,MATCH($I18,Vehicle.Em!$K$7:$K$44,0),MATCH(M$5,Vehicle.Em!$L$6:$R$6,0))</f>
        <v>1.3419772389831669E-2</v>
      </c>
      <c r="N18" s="895">
        <f>INDEX(Vehicle.Em!$L$7:$R$44,MATCH($I18,Vehicle.Em!$K$7:$K$44,0),MATCH(N$5,Vehicle.Em!$L$6:$R$6,0))</f>
        <v>1605.7409498041284</v>
      </c>
      <c r="P18" s="1095">
        <f t="shared" si="0"/>
        <v>2031</v>
      </c>
      <c r="Q18" s="890">
        <f>SUMIFS('EMISSION COSTS'!$G$98:$G$131,'EMISSION COSTS'!$D$98:$D$131,P18)</f>
        <v>1.0886216400000412</v>
      </c>
    </row>
    <row r="19" spans="2:17" x14ac:dyDescent="0.25">
      <c r="B19" s="888">
        <f t="shared" si="1"/>
        <v>2032</v>
      </c>
      <c r="C19" s="889">
        <f>INDEX(Vehicle.Em!$C$7:$I$44,MATCH($B19,Vehicle.Em!$B$7:$B$44,0),MATCH(C$5,Vehicle.Em!$C$6:$I$6,0))</f>
        <v>2.4083697505017702E-2</v>
      </c>
      <c r="D19" s="889">
        <f>INDEX(Vehicle.Em!$C$7:$I$44,MATCH($B19,Vehicle.Em!$B$7:$B$44,0),MATCH(D$5,Vehicle.Em!$C$6:$I$6,0))</f>
        <v>5.8115040505568117E-3</v>
      </c>
      <c r="E19" s="889">
        <f>INDEX(Vehicle.Em!$C$7:$I$44,MATCH($B19,Vehicle.Em!$B$7:$B$44,0),MATCH(E$5,Vehicle.Em!$C$6:$I$6,0))</f>
        <v>2.1294172957740587E-3</v>
      </c>
      <c r="F19" s="889">
        <f>INDEX(Vehicle.Em!$C$7:$I$44,MATCH($B19,Vehicle.Em!$B$7:$B$44,0),MATCH(F$5,Vehicle.Em!$C$6:$I$6,0))</f>
        <v>1.6061549024677555E-3</v>
      </c>
      <c r="G19" s="895">
        <f>INDEX(Vehicle.Em!$C$7:$I$44,MATCH($B19,Vehicle.Em!$B$7:$B$44,0),MATCH(G$5,Vehicle.Em!$C$6:$I$6,0))</f>
        <v>240.56049607016757</v>
      </c>
      <c r="I19" s="888">
        <f t="shared" si="2"/>
        <v>2032</v>
      </c>
      <c r="J19" s="889">
        <f>INDEX(Vehicle.Em!$L$7:$R$44,MATCH($I19,Vehicle.Em!$K$7:$K$44,0),MATCH(J$5,Vehicle.Em!$L$6:$R$6,0))</f>
        <v>1.6115173802805305</v>
      </c>
      <c r="K19" s="889">
        <f>INDEX(Vehicle.Em!$L$7:$R$44,MATCH($I19,Vehicle.Em!$K$7:$K$44,0),MATCH(K$5,Vehicle.Em!$L$6:$R$6,0))</f>
        <v>9.3287115172854734E-2</v>
      </c>
      <c r="L19" s="889">
        <f>INDEX(Vehicle.Em!$L$7:$R$44,MATCH($I19,Vehicle.Em!$K$7:$K$44,0),MATCH(L$5,Vehicle.Em!$L$6:$R$6,0))</f>
        <v>5.1464637959725112E-2</v>
      </c>
      <c r="M19" s="889">
        <f>INDEX(Vehicle.Em!$L$7:$R$44,MATCH($I19,Vehicle.Em!$K$7:$K$44,0),MATCH(M$5,Vehicle.Em!$L$6:$R$6,0))</f>
        <v>1.3389714435272058E-2</v>
      </c>
      <c r="N19" s="895">
        <f>INDEX(Vehicle.Em!$L$7:$R$44,MATCH($I19,Vehicle.Em!$K$7:$K$44,0),MATCH(N$5,Vehicle.Em!$L$6:$R$6,0))</f>
        <v>1602.8531365828039</v>
      </c>
      <c r="P19" s="1095">
        <f t="shared" si="0"/>
        <v>2032</v>
      </c>
      <c r="Q19" s="890">
        <f>SUMIFS('EMISSION COSTS'!$G$98:$G$131,'EMISSION COSTS'!$D$98:$D$131,P19)</f>
        <v>1.2700585800000308</v>
      </c>
    </row>
    <row r="20" spans="2:17" x14ac:dyDescent="0.25">
      <c r="B20" s="888">
        <f t="shared" si="1"/>
        <v>2033</v>
      </c>
      <c r="C20" s="889">
        <f>INDEX(Vehicle.Em!$C$7:$I$44,MATCH($B20,Vehicle.Em!$B$7:$B$44,0),MATCH(C$5,Vehicle.Em!$C$6:$I$6,0))</f>
        <v>2.1319459648649008E-2</v>
      </c>
      <c r="D20" s="889">
        <f>INDEX(Vehicle.Em!$C$7:$I$44,MATCH($B20,Vehicle.Em!$B$7:$B$44,0),MATCH(D$5,Vehicle.Em!$C$6:$I$6,0))</f>
        <v>5.3234722678015736E-3</v>
      </c>
      <c r="E20" s="889">
        <f>INDEX(Vehicle.Em!$C$7:$I$44,MATCH($B20,Vehicle.Em!$B$7:$B$44,0),MATCH(E$5,Vehicle.Em!$C$6:$I$6,0))</f>
        <v>2.041220846029479E-3</v>
      </c>
      <c r="F20" s="889">
        <f>INDEX(Vehicle.Em!$C$7:$I$44,MATCH($B20,Vehicle.Em!$B$7:$B$44,0),MATCH(F$5,Vehicle.Em!$C$6:$I$6,0))</f>
        <v>1.5674789915051794E-3</v>
      </c>
      <c r="G20" s="895">
        <f>INDEX(Vehicle.Em!$C$7:$I$44,MATCH($B20,Vehicle.Em!$B$7:$B$44,0),MATCH(G$5,Vehicle.Em!$C$6:$I$6,0))</f>
        <v>234.6709962324656</v>
      </c>
      <c r="I20" s="888">
        <f t="shared" si="2"/>
        <v>2033</v>
      </c>
      <c r="J20" s="889">
        <f>INDEX(Vehicle.Em!$L$7:$R$44,MATCH($I20,Vehicle.Em!$K$7:$K$44,0),MATCH(J$5,Vehicle.Em!$L$6:$R$6,0))</f>
        <v>1.5316692835169428</v>
      </c>
      <c r="K20" s="889">
        <f>INDEX(Vehicle.Em!$L$7:$R$44,MATCH($I20,Vehicle.Em!$K$7:$K$44,0),MATCH(K$5,Vehicle.Em!$L$6:$R$6,0))</f>
        <v>8.6684132105264239E-2</v>
      </c>
      <c r="L20" s="889">
        <f>INDEX(Vehicle.Em!$L$7:$R$44,MATCH($I20,Vehicle.Em!$K$7:$K$44,0),MATCH(L$5,Vehicle.Em!$L$6:$R$6,0))</f>
        <v>4.6442854960332527E-2</v>
      </c>
      <c r="M20" s="889">
        <f>INDEX(Vehicle.Em!$L$7:$R$44,MATCH($I20,Vehicle.Em!$K$7:$K$44,0),MATCH(M$5,Vehicle.Em!$L$6:$R$6,0))</f>
        <v>1.3359656480712448E-2</v>
      </c>
      <c r="N20" s="895">
        <f>INDEX(Vehicle.Em!$L$7:$R$44,MATCH($I20,Vehicle.Em!$K$7:$K$44,0),MATCH(N$5,Vehicle.Em!$L$6:$R$6,0))</f>
        <v>1599.9653233614795</v>
      </c>
      <c r="P20" s="1095">
        <f t="shared" si="0"/>
        <v>2033</v>
      </c>
      <c r="Q20" s="890">
        <f>SUMIFS('EMISSION COSTS'!$G$98:$G$131,'EMISSION COSTS'!$D$98:$D$131,P20)</f>
        <v>1.4514955200000206</v>
      </c>
    </row>
    <row r="21" spans="2:17" x14ac:dyDescent="0.25">
      <c r="B21" s="888">
        <f t="shared" si="1"/>
        <v>2034</v>
      </c>
      <c r="C21" s="889">
        <f>INDEX(Vehicle.Em!$C$7:$I$44,MATCH($B21,Vehicle.Em!$B$7:$B$44,0),MATCH(C$5,Vehicle.Em!$C$6:$I$6,0))</f>
        <v>1.8555221792280314E-2</v>
      </c>
      <c r="D21" s="889">
        <f>INDEX(Vehicle.Em!$C$7:$I$44,MATCH($B21,Vehicle.Em!$B$7:$B$44,0),MATCH(D$5,Vehicle.Em!$C$6:$I$6,0))</f>
        <v>4.8354404850463354E-3</v>
      </c>
      <c r="E21" s="889">
        <f>INDEX(Vehicle.Em!$C$7:$I$44,MATCH($B21,Vehicle.Em!$B$7:$B$44,0),MATCH(E$5,Vehicle.Em!$C$6:$I$6,0))</f>
        <v>1.9530243962848992E-3</v>
      </c>
      <c r="F21" s="889">
        <f>INDEX(Vehicle.Em!$C$7:$I$44,MATCH($B21,Vehicle.Em!$B$7:$B$44,0),MATCH(F$5,Vehicle.Em!$C$6:$I$6,0))</f>
        <v>1.5288030805426032E-3</v>
      </c>
      <c r="G21" s="895">
        <f>INDEX(Vehicle.Em!$C$7:$I$44,MATCH($B21,Vehicle.Em!$B$7:$B$44,0),MATCH(G$5,Vehicle.Em!$C$6:$I$6,0))</f>
        <v>228.78149639476362</v>
      </c>
      <c r="I21" s="888">
        <f t="shared" si="2"/>
        <v>2034</v>
      </c>
      <c r="J21" s="889">
        <f>INDEX(Vehicle.Em!$L$7:$R$44,MATCH($I21,Vehicle.Em!$K$7:$K$44,0),MATCH(J$5,Vehicle.Em!$L$6:$R$6,0))</f>
        <v>1.451821186753355</v>
      </c>
      <c r="K21" s="889">
        <f>INDEX(Vehicle.Em!$L$7:$R$44,MATCH($I21,Vehicle.Em!$K$7:$K$44,0),MATCH(K$5,Vehicle.Em!$L$6:$R$6,0))</f>
        <v>8.0081149037673743E-2</v>
      </c>
      <c r="L21" s="889">
        <f>INDEX(Vehicle.Em!$L$7:$R$44,MATCH($I21,Vehicle.Em!$K$7:$K$44,0),MATCH(L$5,Vehicle.Em!$L$6:$R$6,0))</f>
        <v>4.1421071960939942E-2</v>
      </c>
      <c r="M21" s="889">
        <f>INDEX(Vehicle.Em!$L$7:$R$44,MATCH($I21,Vehicle.Em!$K$7:$K$44,0),MATCH(M$5,Vehicle.Em!$L$6:$R$6,0))</f>
        <v>1.3329598526152838E-2</v>
      </c>
      <c r="N21" s="895">
        <f>INDEX(Vehicle.Em!$L$7:$R$44,MATCH($I21,Vehicle.Em!$K$7:$K$44,0),MATCH(N$5,Vehicle.Em!$L$6:$R$6,0))</f>
        <v>1597.077510140155</v>
      </c>
      <c r="P21" s="1095">
        <f t="shared" si="0"/>
        <v>2034</v>
      </c>
      <c r="Q21" s="890">
        <f>SUMIFS('EMISSION COSTS'!$G$98:$G$131,'EMISSION COSTS'!$D$98:$D$131,P21)</f>
        <v>1.6329324600000101</v>
      </c>
    </row>
    <row r="22" spans="2:17" x14ac:dyDescent="0.25">
      <c r="B22" s="888">
        <f t="shared" si="1"/>
        <v>2035</v>
      </c>
      <c r="C22" s="889">
        <f>INDEX(Vehicle.Em!$C$7:$I$44,MATCH($B22,Vehicle.Em!$B$7:$B$44,0),MATCH(C$5,Vehicle.Em!$C$6:$I$6,0))</f>
        <v>1.3026746079542949E-2</v>
      </c>
      <c r="D22" s="889">
        <f>INDEX(Vehicle.Em!$C$7:$I$44,MATCH($B22,Vehicle.Em!$B$7:$B$44,0),MATCH(D$5,Vehicle.Em!$C$6:$I$6,0))</f>
        <v>3.8593769195358583E-3</v>
      </c>
      <c r="E22" s="889">
        <f>INDEX(Vehicle.Em!$C$7:$I$44,MATCH($B22,Vehicle.Em!$B$7:$B$44,0),MATCH(E$5,Vehicle.Em!$C$6:$I$6,0))</f>
        <v>1.7766314967957396E-3</v>
      </c>
      <c r="F22" s="889">
        <f>INDEX(Vehicle.Em!$C$7:$I$44,MATCH($B22,Vehicle.Em!$B$7:$B$44,0),MATCH(F$5,Vehicle.Em!$C$6:$I$6,0))</f>
        <v>1.4514512586174498E-3</v>
      </c>
      <c r="G22" s="895">
        <f>INDEX(Vehicle.Em!$C$7:$I$44,MATCH($B22,Vehicle.Em!$B$7:$B$44,0),MATCH(G$5,Vehicle.Em!$C$6:$I$6,0))</f>
        <v>217.00249671935973</v>
      </c>
      <c r="I22" s="888">
        <f t="shared" si="2"/>
        <v>2035</v>
      </c>
      <c r="J22" s="889">
        <f>INDEX(Vehicle.Em!$L$7:$R$44,MATCH($I22,Vehicle.Em!$K$7:$K$44,0),MATCH(J$5,Vehicle.Em!$L$6:$R$6,0))</f>
        <v>1.2921249932261796</v>
      </c>
      <c r="K22" s="889">
        <f>INDEX(Vehicle.Em!$L$7:$R$44,MATCH($I22,Vehicle.Em!$K$7:$K$44,0),MATCH(K$5,Vehicle.Em!$L$6:$R$6,0))</f>
        <v>6.6875182902492711E-2</v>
      </c>
      <c r="L22" s="889">
        <f>INDEX(Vehicle.Em!$L$7:$R$44,MATCH($I22,Vehicle.Em!$K$7:$K$44,0),MATCH(L$5,Vehicle.Em!$L$6:$R$6,0))</f>
        <v>3.13775059621548E-2</v>
      </c>
      <c r="M22" s="889">
        <f>INDEX(Vehicle.Em!$L$7:$R$44,MATCH($I22,Vehicle.Em!$K$7:$K$44,0),MATCH(M$5,Vehicle.Em!$L$6:$R$6,0))</f>
        <v>1.3269482617033621E-2</v>
      </c>
      <c r="N22" s="895">
        <f>INDEX(Vehicle.Em!$L$7:$R$44,MATCH($I22,Vehicle.Em!$K$7:$K$44,0),MATCH(N$5,Vehicle.Em!$L$6:$R$6,0))</f>
        <v>1591.3018836975068</v>
      </c>
      <c r="P22" s="1095">
        <f t="shared" si="0"/>
        <v>2035</v>
      </c>
      <c r="Q22" s="890">
        <f>SUMIFS('EMISSION COSTS'!$G$98:$G$131,'EMISSION COSTS'!$D$98:$D$131,P22)</f>
        <v>1.8143693999999999</v>
      </c>
    </row>
    <row r="23" spans="2:17" x14ac:dyDescent="0.25">
      <c r="B23" s="888">
        <f t="shared" si="1"/>
        <v>2036</v>
      </c>
      <c r="C23" s="889">
        <f>INDEX(Vehicle.Em!$C$7:$I$44,MATCH($B23,Vehicle.Em!$B$7:$B$44,0),MATCH(C$5,Vehicle.Em!$C$6:$I$6,0))</f>
        <v>1.2632379006692448E-2</v>
      </c>
      <c r="D23" s="889">
        <f>INDEX(Vehicle.Em!$C$7:$I$44,MATCH($B23,Vehicle.Em!$B$7:$B$44,0),MATCH(D$5,Vehicle.Em!$C$6:$I$6,0))</f>
        <v>3.7814814651359117E-3</v>
      </c>
      <c r="E23" s="889">
        <f>INDEX(Vehicle.Em!$C$7:$I$44,MATCH($B23,Vehicle.Em!$B$7:$B$44,0),MATCH(E$5,Vehicle.Em!$C$6:$I$6,0))</f>
        <v>1.7622303847701869E-3</v>
      </c>
      <c r="F23" s="889">
        <f>INDEX(Vehicle.Em!$C$7:$I$44,MATCH($B23,Vehicle.Em!$B$7:$B$44,0),MATCH(F$5,Vehicle.Em!$C$6:$I$6,0))</f>
        <v>1.4461179631656341E-3</v>
      </c>
      <c r="G23" s="895">
        <f>INDEX(Vehicle.Em!$C$7:$I$44,MATCH($B23,Vehicle.Em!$B$7:$B$44,0),MATCH(G$5,Vehicle.Em!$C$6:$I$6,0))</f>
        <v>216.13899681784832</v>
      </c>
      <c r="I23" s="888">
        <f t="shared" si="2"/>
        <v>2036</v>
      </c>
      <c r="J23" s="889">
        <f>INDEX(Vehicle.Em!$L$7:$R$44,MATCH($I23,Vehicle.Em!$K$7:$K$44,0),MATCH(J$5,Vehicle.Em!$L$6:$R$6,0))</f>
        <v>1.2878363310805314</v>
      </c>
      <c r="K23" s="889">
        <f>INDEX(Vehicle.Em!$L$7:$R$44,MATCH($I23,Vehicle.Em!$K$7:$K$44,0),MATCH(K$5,Vehicle.Em!$L$6:$R$6,0))</f>
        <v>6.6648314131302025E-2</v>
      </c>
      <c r="L23" s="889">
        <f>INDEX(Vehicle.Em!$L$7:$R$44,MATCH($I23,Vehicle.Em!$K$7:$K$44,0),MATCH(L$5,Vehicle.Em!$L$6:$R$6,0))</f>
        <v>3.1194970638766351E-2</v>
      </c>
      <c r="M23" s="889">
        <f>INDEX(Vehicle.Em!$L$7:$R$44,MATCH($I23,Vehicle.Em!$K$7:$K$44,0),MATCH(M$5,Vehicle.Em!$L$6:$R$6,0))</f>
        <v>1.3266231748275436E-2</v>
      </c>
      <c r="N23" s="895">
        <f>INDEX(Vehicle.Em!$L$7:$R$44,MATCH($I23,Vehicle.Em!$K$7:$K$44,0),MATCH(N$5,Vehicle.Em!$L$6:$R$6,0))</f>
        <v>1590.9403218356017</v>
      </c>
      <c r="P23" s="1095">
        <f t="shared" si="0"/>
        <v>2036</v>
      </c>
      <c r="Q23" s="890">
        <f>SUMIFS('EMISSION COSTS'!$G$98:$G$131,'EMISSION COSTS'!$D$98:$D$131,P23)</f>
        <v>1.8143693999999999</v>
      </c>
    </row>
    <row r="24" spans="2:17" ht="15.75" customHeight="1" x14ac:dyDescent="0.25">
      <c r="B24" s="888">
        <f t="shared" si="1"/>
        <v>2037</v>
      </c>
      <c r="C24" s="889">
        <f>INDEX(Vehicle.Em!$C$7:$I$44,MATCH($B24,Vehicle.Em!$B$7:$B$44,0),MATCH(C$5,Vehicle.Em!$C$6:$I$6,0))</f>
        <v>1.2238011933841947E-2</v>
      </c>
      <c r="D24" s="889">
        <f>INDEX(Vehicle.Em!$C$7:$I$44,MATCH($B24,Vehicle.Em!$B$7:$B$44,0),MATCH(D$5,Vehicle.Em!$C$6:$I$6,0))</f>
        <v>3.7035860107359651E-3</v>
      </c>
      <c r="E24" s="889">
        <f>INDEX(Vehicle.Em!$C$7:$I$44,MATCH($B24,Vehicle.Em!$B$7:$B$44,0),MATCH(E$5,Vehicle.Em!$C$6:$I$6,0))</f>
        <v>1.7478292727446342E-3</v>
      </c>
      <c r="F24" s="889">
        <f>INDEX(Vehicle.Em!$C$7:$I$44,MATCH($B24,Vehicle.Em!$B$7:$B$44,0),MATCH(F$5,Vehicle.Em!$C$6:$I$6,0))</f>
        <v>1.4407846677138183E-3</v>
      </c>
      <c r="G24" s="895">
        <f>INDEX(Vehicle.Em!$C$7:$I$44,MATCH($B24,Vehicle.Em!$B$7:$B$44,0),MATCH(G$5,Vehicle.Em!$C$6:$I$6,0))</f>
        <v>215.27549691633692</v>
      </c>
      <c r="I24" s="888">
        <f t="shared" si="2"/>
        <v>2037</v>
      </c>
      <c r="J24" s="889">
        <f>INDEX(Vehicle.Em!$L$7:$R$44,MATCH($I24,Vehicle.Em!$K$7:$K$44,0),MATCH(J$5,Vehicle.Em!$L$6:$R$6,0))</f>
        <v>1.2835476689348833</v>
      </c>
      <c r="K24" s="889">
        <f>INDEX(Vehicle.Em!$L$7:$R$44,MATCH($I24,Vehicle.Em!$K$7:$K$44,0),MATCH(K$5,Vehicle.Em!$L$6:$R$6,0))</f>
        <v>6.6421445360111339E-2</v>
      </c>
      <c r="L24" s="889">
        <f>INDEX(Vehicle.Em!$L$7:$R$44,MATCH($I24,Vehicle.Em!$K$7:$K$44,0),MATCH(L$5,Vehicle.Em!$L$6:$R$6,0))</f>
        <v>3.1012435315377902E-2</v>
      </c>
      <c r="M24" s="889">
        <f>INDEX(Vehicle.Em!$L$7:$R$44,MATCH($I24,Vehicle.Em!$K$7:$K$44,0),MATCH(M$5,Vehicle.Em!$L$6:$R$6,0))</f>
        <v>1.3262980879517251E-2</v>
      </c>
      <c r="N24" s="895">
        <f>INDEX(Vehicle.Em!$L$7:$R$44,MATCH($I24,Vehicle.Em!$K$7:$K$44,0),MATCH(N$5,Vehicle.Em!$L$6:$R$6,0))</f>
        <v>1590.5787599736966</v>
      </c>
      <c r="P24" s="1095">
        <f t="shared" si="0"/>
        <v>2037</v>
      </c>
      <c r="Q24" s="890">
        <f>SUMIFS('EMISSION COSTS'!$G$98:$G$131,'EMISSION COSTS'!$D$98:$D$131,P24)</f>
        <v>1.8143693999999999</v>
      </c>
    </row>
    <row r="25" spans="2:17" ht="15.75" customHeight="1" x14ac:dyDescent="0.25">
      <c r="B25" s="888">
        <f t="shared" si="1"/>
        <v>2038</v>
      </c>
      <c r="C25" s="889">
        <f>INDEX(Vehicle.Em!$C$7:$I$44,MATCH($B25,Vehicle.Em!$B$7:$B$44,0),MATCH(C$5,Vehicle.Em!$C$6:$I$6,0))</f>
        <v>1.1843644860991445E-2</v>
      </c>
      <c r="D25" s="889">
        <f>INDEX(Vehicle.Em!$C$7:$I$44,MATCH($B25,Vehicle.Em!$B$7:$B$44,0),MATCH(D$5,Vehicle.Em!$C$6:$I$6,0))</f>
        <v>3.6256905563360185E-3</v>
      </c>
      <c r="E25" s="889">
        <f>INDEX(Vehicle.Em!$C$7:$I$44,MATCH($B25,Vehicle.Em!$B$7:$B$44,0),MATCH(E$5,Vehicle.Em!$C$6:$I$6,0))</f>
        <v>1.7334281607190815E-3</v>
      </c>
      <c r="F25" s="889">
        <f>INDEX(Vehicle.Em!$C$7:$I$44,MATCH($B25,Vehicle.Em!$B$7:$B$44,0),MATCH(F$5,Vehicle.Em!$C$6:$I$6,0))</f>
        <v>1.4354513722620026E-3</v>
      </c>
      <c r="G25" s="895">
        <f>INDEX(Vehicle.Em!$C$7:$I$44,MATCH($B25,Vehicle.Em!$B$7:$B$44,0),MATCH(G$5,Vehicle.Em!$C$6:$I$6,0))</f>
        <v>214.41199701482552</v>
      </c>
      <c r="I25" s="888">
        <f t="shared" si="2"/>
        <v>2038</v>
      </c>
      <c r="J25" s="889">
        <f>INDEX(Vehicle.Em!$L$7:$R$44,MATCH($I25,Vehicle.Em!$K$7:$K$44,0),MATCH(J$5,Vehicle.Em!$L$6:$R$6,0))</f>
        <v>1.2792590067892351</v>
      </c>
      <c r="K25" s="889">
        <f>INDEX(Vehicle.Em!$L$7:$R$44,MATCH($I25,Vehicle.Em!$K$7:$K$44,0),MATCH(K$5,Vehicle.Em!$L$6:$R$6,0))</f>
        <v>6.6194576588920653E-2</v>
      </c>
      <c r="L25" s="889">
        <f>INDEX(Vehicle.Em!$L$7:$R$44,MATCH($I25,Vehicle.Em!$K$7:$K$44,0),MATCH(L$5,Vehicle.Em!$L$6:$R$6,0))</f>
        <v>3.0829899991989453E-2</v>
      </c>
      <c r="M25" s="889">
        <f>INDEX(Vehicle.Em!$L$7:$R$44,MATCH($I25,Vehicle.Em!$K$7:$K$44,0),MATCH(M$5,Vehicle.Em!$L$6:$R$6,0))</f>
        <v>1.3259730010759066E-2</v>
      </c>
      <c r="N25" s="895">
        <f>INDEX(Vehicle.Em!$L$7:$R$44,MATCH($I25,Vehicle.Em!$K$7:$K$44,0),MATCH(N$5,Vehicle.Em!$L$6:$R$6,0))</f>
        <v>1590.2171981117915</v>
      </c>
      <c r="P25" s="1095">
        <f t="shared" si="0"/>
        <v>2038</v>
      </c>
      <c r="Q25" s="890">
        <f>SUMIFS('EMISSION COSTS'!$G$98:$G$131,'EMISSION COSTS'!$D$98:$D$131,P25)</f>
        <v>1.8143693999999999</v>
      </c>
    </row>
    <row r="26" spans="2:17" x14ac:dyDescent="0.25">
      <c r="B26" s="888">
        <f t="shared" si="1"/>
        <v>2039</v>
      </c>
      <c r="C26" s="889">
        <f>INDEX(Vehicle.Em!$C$7:$I$44,MATCH($B26,Vehicle.Em!$B$7:$B$44,0),MATCH(C$5,Vehicle.Em!$C$6:$I$6,0))</f>
        <v>1.1449277788140944E-2</v>
      </c>
      <c r="D26" s="889">
        <f>INDEX(Vehicle.Em!$C$7:$I$44,MATCH($B26,Vehicle.Em!$B$7:$B$44,0),MATCH(D$5,Vehicle.Em!$C$6:$I$6,0))</f>
        <v>3.5477951019360719E-3</v>
      </c>
      <c r="E26" s="889">
        <f>INDEX(Vehicle.Em!$C$7:$I$44,MATCH($B26,Vehicle.Em!$B$7:$B$44,0),MATCH(E$5,Vehicle.Em!$C$6:$I$6,0))</f>
        <v>1.7190270486935287E-3</v>
      </c>
      <c r="F26" s="889">
        <f>INDEX(Vehicle.Em!$C$7:$I$44,MATCH($B26,Vehicle.Em!$B$7:$B$44,0),MATCH(F$5,Vehicle.Em!$C$6:$I$6,0))</f>
        <v>1.4301180768101869E-3</v>
      </c>
      <c r="G26" s="895">
        <f>INDEX(Vehicle.Em!$C$7:$I$44,MATCH($B26,Vehicle.Em!$B$7:$B$44,0),MATCH(G$5,Vehicle.Em!$C$6:$I$6,0))</f>
        <v>213.54849711331411</v>
      </c>
      <c r="I26" s="888">
        <f t="shared" si="2"/>
        <v>2039</v>
      </c>
      <c r="J26" s="889">
        <f>INDEX(Vehicle.Em!$L$7:$R$44,MATCH($I26,Vehicle.Em!$K$7:$K$44,0),MATCH(J$5,Vehicle.Em!$L$6:$R$6,0))</f>
        <v>1.2749703446435869</v>
      </c>
      <c r="K26" s="889">
        <f>INDEX(Vehicle.Em!$L$7:$R$44,MATCH($I26,Vehicle.Em!$K$7:$K$44,0),MATCH(K$5,Vehicle.Em!$L$6:$R$6,0))</f>
        <v>6.5967707817729968E-2</v>
      </c>
      <c r="L26" s="889">
        <f>INDEX(Vehicle.Em!$L$7:$R$44,MATCH($I26,Vehicle.Em!$K$7:$K$44,0),MATCH(L$5,Vehicle.Em!$L$6:$R$6,0))</f>
        <v>3.0647364668601004E-2</v>
      </c>
      <c r="M26" s="889">
        <f>INDEX(Vehicle.Em!$L$7:$R$44,MATCH($I26,Vehicle.Em!$K$7:$K$44,0),MATCH(M$5,Vehicle.Em!$L$6:$R$6,0))</f>
        <v>1.3256479142000881E-2</v>
      </c>
      <c r="N26" s="895">
        <f>INDEX(Vehicle.Em!$L$7:$R$44,MATCH($I26,Vehicle.Em!$K$7:$K$44,0),MATCH(N$5,Vehicle.Em!$L$6:$R$6,0))</f>
        <v>1589.8556362498864</v>
      </c>
      <c r="P26" s="1095">
        <f t="shared" si="0"/>
        <v>2039</v>
      </c>
      <c r="Q26" s="890">
        <f>SUMIFS('EMISSION COSTS'!$G$98:$G$131,'EMISSION COSTS'!$D$98:$D$131,P26)</f>
        <v>1.8143693999999999</v>
      </c>
    </row>
    <row r="27" spans="2:17" x14ac:dyDescent="0.25">
      <c r="B27" s="888">
        <f t="shared" si="1"/>
        <v>2040</v>
      </c>
      <c r="C27" s="889">
        <f>INDEX(Vehicle.Em!$C$7:$I$44,MATCH($B27,Vehicle.Em!$B$7:$B$44,0),MATCH(C$5,Vehicle.Em!$C$6:$I$6,0))</f>
        <v>1.1054910715290443E-2</v>
      </c>
      <c r="D27" s="889">
        <f>INDEX(Vehicle.Em!$C$7:$I$44,MATCH($B27,Vehicle.Em!$B$7:$B$44,0),MATCH(D$5,Vehicle.Em!$C$6:$I$6,0))</f>
        <v>3.4698996475361252E-3</v>
      </c>
      <c r="E27" s="889">
        <f>INDEX(Vehicle.Em!$C$7:$I$44,MATCH($B27,Vehicle.Em!$B$7:$B$44,0),MATCH(E$5,Vehicle.Em!$C$6:$I$6,0))</f>
        <v>1.704625936667976E-3</v>
      </c>
      <c r="F27" s="889">
        <f>INDEX(Vehicle.Em!$C$7:$I$44,MATCH($B27,Vehicle.Em!$B$7:$B$44,0),MATCH(F$5,Vehicle.Em!$C$6:$I$6,0))</f>
        <v>1.4247847813583711E-3</v>
      </c>
      <c r="G27" s="895">
        <f>INDEX(Vehicle.Em!$C$7:$I$44,MATCH($B27,Vehicle.Em!$B$7:$B$44,0),MATCH(G$5,Vehicle.Em!$C$6:$I$6,0))</f>
        <v>212.68499721180271</v>
      </c>
      <c r="I27" s="888">
        <f t="shared" si="2"/>
        <v>2040</v>
      </c>
      <c r="J27" s="889">
        <f>INDEX(Vehicle.Em!$L$7:$R$44,MATCH($I27,Vehicle.Em!$K$7:$K$44,0),MATCH(J$5,Vehicle.Em!$L$6:$R$6,0))</f>
        <v>1.2706816824979388</v>
      </c>
      <c r="K27" s="889">
        <f>INDEX(Vehicle.Em!$L$7:$R$44,MATCH($I27,Vehicle.Em!$K$7:$K$44,0),MATCH(K$5,Vehicle.Em!$L$6:$R$6,0))</f>
        <v>6.5740839046539282E-2</v>
      </c>
      <c r="L27" s="889">
        <f>INDEX(Vehicle.Em!$L$7:$R$44,MATCH($I27,Vehicle.Em!$K$7:$K$44,0),MATCH(L$5,Vehicle.Em!$L$6:$R$6,0))</f>
        <v>3.0464829345212555E-2</v>
      </c>
      <c r="M27" s="889">
        <f>INDEX(Vehicle.Em!$L$7:$R$44,MATCH($I27,Vehicle.Em!$K$7:$K$44,0),MATCH(M$5,Vehicle.Em!$L$6:$R$6,0))</f>
        <v>1.3253228273242696E-2</v>
      </c>
      <c r="N27" s="895">
        <f>INDEX(Vehicle.Em!$L$7:$R$44,MATCH($I27,Vehicle.Em!$K$7:$K$44,0),MATCH(N$5,Vehicle.Em!$L$6:$R$6,0))</f>
        <v>1589.4940743879813</v>
      </c>
      <c r="P27" s="1095">
        <f t="shared" si="0"/>
        <v>2040</v>
      </c>
      <c r="Q27" s="890">
        <f>SUMIFS('EMISSION COSTS'!$G$98:$G$131,'EMISSION COSTS'!$D$98:$D$131,P27)</f>
        <v>1.8143693999999999</v>
      </c>
    </row>
    <row r="28" spans="2:17" x14ac:dyDescent="0.25">
      <c r="B28" s="888">
        <f t="shared" si="1"/>
        <v>2041</v>
      </c>
      <c r="C28" s="889">
        <f>INDEX(Vehicle.Em!$C$7:$I$44,MATCH($B28,Vehicle.Em!$B$7:$B$44,0),MATCH(C$5,Vehicle.Em!$C$6:$I$6,0))</f>
        <v>1.0660543642439941E-2</v>
      </c>
      <c r="D28" s="889">
        <f>INDEX(Vehicle.Em!$C$7:$I$44,MATCH($B28,Vehicle.Em!$B$7:$B$44,0),MATCH(D$5,Vehicle.Em!$C$6:$I$6,0))</f>
        <v>3.3920041931361786E-3</v>
      </c>
      <c r="E28" s="889">
        <f>INDEX(Vehicle.Em!$C$7:$I$44,MATCH($B28,Vehicle.Em!$B$7:$B$44,0),MATCH(E$5,Vehicle.Em!$C$6:$I$6,0))</f>
        <v>1.6902248246424233E-3</v>
      </c>
      <c r="F28" s="889">
        <f>INDEX(Vehicle.Em!$C$7:$I$44,MATCH($B28,Vehicle.Em!$B$7:$B$44,0),MATCH(F$5,Vehicle.Em!$C$6:$I$6,0))</f>
        <v>1.4194514859065554E-3</v>
      </c>
      <c r="G28" s="895">
        <f>INDEX(Vehicle.Em!$C$7:$I$44,MATCH($B28,Vehicle.Em!$B$7:$B$44,0),MATCH(G$5,Vehicle.Em!$C$6:$I$6,0))</f>
        <v>211.82149731029131</v>
      </c>
      <c r="I28" s="888">
        <f t="shared" si="2"/>
        <v>2041</v>
      </c>
      <c r="J28" s="889">
        <f>INDEX(Vehicle.Em!$L$7:$R$44,MATCH($I28,Vehicle.Em!$K$7:$K$44,0),MATCH(J$5,Vehicle.Em!$L$6:$R$6,0))</f>
        <v>1.2663930203522906</v>
      </c>
      <c r="K28" s="889">
        <f>INDEX(Vehicle.Em!$L$7:$R$44,MATCH($I28,Vehicle.Em!$K$7:$K$44,0),MATCH(K$5,Vehicle.Em!$L$6:$R$6,0))</f>
        <v>6.5513970275348596E-2</v>
      </c>
      <c r="L28" s="889">
        <f>INDEX(Vehicle.Em!$L$7:$R$44,MATCH($I28,Vehicle.Em!$K$7:$K$44,0),MATCH(L$5,Vehicle.Em!$L$6:$R$6,0))</f>
        <v>3.0282294021824106E-2</v>
      </c>
      <c r="M28" s="889">
        <f>INDEX(Vehicle.Em!$L$7:$R$44,MATCH($I28,Vehicle.Em!$K$7:$K$44,0),MATCH(M$5,Vehicle.Em!$L$6:$R$6,0))</f>
        <v>1.3249977404484511E-2</v>
      </c>
      <c r="N28" s="895">
        <f>INDEX(Vehicle.Em!$L$7:$R$44,MATCH($I28,Vehicle.Em!$K$7:$K$44,0),MATCH(N$5,Vehicle.Em!$L$6:$R$6,0))</f>
        <v>1589.1325125260762</v>
      </c>
      <c r="P28" s="1095">
        <f t="shared" si="0"/>
        <v>2041</v>
      </c>
      <c r="Q28" s="890">
        <f>SUMIFS('EMISSION COSTS'!$G$98:$G$131,'EMISSION COSTS'!$D$98:$D$131,P28)</f>
        <v>1.8143693999999999</v>
      </c>
    </row>
    <row r="29" spans="2:17" x14ac:dyDescent="0.25">
      <c r="B29" s="888">
        <f t="shared" si="1"/>
        <v>2042</v>
      </c>
      <c r="C29" s="889">
        <f>INDEX(Vehicle.Em!$C$7:$I$44,MATCH($B29,Vehicle.Em!$B$7:$B$44,0),MATCH(C$5,Vehicle.Em!$C$6:$I$6,0))</f>
        <v>1.026617656958944E-2</v>
      </c>
      <c r="D29" s="889">
        <f>INDEX(Vehicle.Em!$C$7:$I$44,MATCH($B29,Vehicle.Em!$B$7:$B$44,0),MATCH(D$5,Vehicle.Em!$C$6:$I$6,0))</f>
        <v>3.314108738736232E-3</v>
      </c>
      <c r="E29" s="889">
        <f>INDEX(Vehicle.Em!$C$7:$I$44,MATCH($B29,Vehicle.Em!$B$7:$B$44,0),MATCH(E$5,Vehicle.Em!$C$6:$I$6,0))</f>
        <v>1.6758237126168706E-3</v>
      </c>
      <c r="F29" s="889">
        <f>INDEX(Vehicle.Em!$C$7:$I$44,MATCH($B29,Vehicle.Em!$B$7:$B$44,0),MATCH(F$5,Vehicle.Em!$C$6:$I$6,0))</f>
        <v>1.4141181904547397E-3</v>
      </c>
      <c r="G29" s="895">
        <f>INDEX(Vehicle.Em!$C$7:$I$44,MATCH($B29,Vehicle.Em!$B$7:$B$44,0),MATCH(G$5,Vehicle.Em!$C$6:$I$6,0))</f>
        <v>210.9579974087799</v>
      </c>
      <c r="I29" s="888">
        <f t="shared" si="2"/>
        <v>2042</v>
      </c>
      <c r="J29" s="889">
        <f>INDEX(Vehicle.Em!$L$7:$R$44,MATCH($I29,Vehicle.Em!$K$7:$K$44,0),MATCH(J$5,Vehicle.Em!$L$6:$R$6,0))</f>
        <v>1.2621043582066425</v>
      </c>
      <c r="K29" s="889">
        <f>INDEX(Vehicle.Em!$L$7:$R$44,MATCH($I29,Vehicle.Em!$K$7:$K$44,0),MATCH(K$5,Vehicle.Em!$L$6:$R$6,0))</f>
        <v>6.528710150415791E-2</v>
      </c>
      <c r="L29" s="889">
        <f>INDEX(Vehicle.Em!$L$7:$R$44,MATCH($I29,Vehicle.Em!$K$7:$K$44,0),MATCH(L$5,Vehicle.Em!$L$6:$R$6,0))</f>
        <v>3.0099758698435657E-2</v>
      </c>
      <c r="M29" s="889">
        <f>INDEX(Vehicle.Em!$L$7:$R$44,MATCH($I29,Vehicle.Em!$K$7:$K$44,0),MATCH(M$5,Vehicle.Em!$L$6:$R$6,0))</f>
        <v>1.3246726535726326E-2</v>
      </c>
      <c r="N29" s="895">
        <f>INDEX(Vehicle.Em!$L$7:$R$44,MATCH($I29,Vehicle.Em!$K$7:$K$44,0),MATCH(N$5,Vehicle.Em!$L$6:$R$6,0))</f>
        <v>1588.7709506641711</v>
      </c>
      <c r="P29" s="1095">
        <f t="shared" si="0"/>
        <v>2042</v>
      </c>
      <c r="Q29" s="890">
        <f>SUMIFS('EMISSION COSTS'!$G$98:$G$131,'EMISSION COSTS'!$D$98:$D$131,P29)</f>
        <v>1.8143693999999999</v>
      </c>
    </row>
    <row r="30" spans="2:17" x14ac:dyDescent="0.25">
      <c r="B30" s="888">
        <f t="shared" si="1"/>
        <v>2043</v>
      </c>
      <c r="C30" s="889">
        <f>INDEX(Vehicle.Em!$C$7:$I$44,MATCH($B30,Vehicle.Em!$B$7:$B$44,0),MATCH(C$5,Vehicle.Em!$C$6:$I$6,0))</f>
        <v>9.8718094967389387E-3</v>
      </c>
      <c r="D30" s="889">
        <f>INDEX(Vehicle.Em!$C$7:$I$44,MATCH($B30,Vehicle.Em!$B$7:$B$44,0),MATCH(D$5,Vehicle.Em!$C$6:$I$6,0))</f>
        <v>3.2362132843362854E-3</v>
      </c>
      <c r="E30" s="889">
        <f>INDEX(Vehicle.Em!$C$7:$I$44,MATCH($B30,Vehicle.Em!$B$7:$B$44,0),MATCH(E$5,Vehicle.Em!$C$6:$I$6,0))</f>
        <v>1.6614226005913179E-3</v>
      </c>
      <c r="F30" s="889">
        <f>INDEX(Vehicle.Em!$C$7:$I$44,MATCH($B30,Vehicle.Em!$B$7:$B$44,0),MATCH(F$5,Vehicle.Em!$C$6:$I$6,0))</f>
        <v>1.4087848950029239E-3</v>
      </c>
      <c r="G30" s="895">
        <f>INDEX(Vehicle.Em!$C$7:$I$44,MATCH($B30,Vehicle.Em!$B$7:$B$44,0),MATCH(G$5,Vehicle.Em!$C$6:$I$6,0))</f>
        <v>210.0944975072685</v>
      </c>
      <c r="I30" s="888">
        <f t="shared" si="2"/>
        <v>2043</v>
      </c>
      <c r="J30" s="889">
        <f>INDEX(Vehicle.Em!$L$7:$R$44,MATCH($I30,Vehicle.Em!$K$7:$K$44,0),MATCH(J$5,Vehicle.Em!$L$6:$R$6,0))</f>
        <v>1.2578156960609943</v>
      </c>
      <c r="K30" s="889">
        <f>INDEX(Vehicle.Em!$L$7:$R$44,MATCH($I30,Vehicle.Em!$K$7:$K$44,0),MATCH(K$5,Vehicle.Em!$L$6:$R$6,0))</f>
        <v>6.5060232732967224E-2</v>
      </c>
      <c r="L30" s="889">
        <f>INDEX(Vehicle.Em!$L$7:$R$44,MATCH($I30,Vehicle.Em!$K$7:$K$44,0),MATCH(L$5,Vehicle.Em!$L$6:$R$6,0))</f>
        <v>2.9917223375047208E-2</v>
      </c>
      <c r="M30" s="889">
        <f>INDEX(Vehicle.Em!$L$7:$R$44,MATCH($I30,Vehicle.Em!$K$7:$K$44,0),MATCH(M$5,Vehicle.Em!$L$6:$R$6,0))</f>
        <v>1.3243475666968142E-2</v>
      </c>
      <c r="N30" s="895">
        <f>INDEX(Vehicle.Em!$L$7:$R$44,MATCH($I30,Vehicle.Em!$K$7:$K$44,0),MATCH(N$5,Vehicle.Em!$L$6:$R$6,0))</f>
        <v>1588.409388802266</v>
      </c>
      <c r="P30" s="1095">
        <f t="shared" si="0"/>
        <v>2043</v>
      </c>
      <c r="Q30" s="890">
        <f>SUMIFS('EMISSION COSTS'!$G$98:$G$131,'EMISSION COSTS'!$D$98:$D$131,P30)</f>
        <v>1.8143693999999999</v>
      </c>
    </row>
    <row r="31" spans="2:17" x14ac:dyDescent="0.25">
      <c r="B31" s="888">
        <f t="shared" si="1"/>
        <v>2044</v>
      </c>
      <c r="C31" s="889">
        <f>INDEX(Vehicle.Em!$C$7:$I$44,MATCH($B31,Vehicle.Em!$B$7:$B$44,0),MATCH(C$5,Vehicle.Em!$C$6:$I$6,0))</f>
        <v>9.4774424238884374E-3</v>
      </c>
      <c r="D31" s="889">
        <f>INDEX(Vehicle.Em!$C$7:$I$44,MATCH($B31,Vehicle.Em!$B$7:$B$44,0),MATCH(D$5,Vehicle.Em!$C$6:$I$6,0))</f>
        <v>3.1583178299363387E-3</v>
      </c>
      <c r="E31" s="889">
        <f>INDEX(Vehicle.Em!$C$7:$I$44,MATCH($B31,Vehicle.Em!$B$7:$B$44,0),MATCH(E$5,Vehicle.Em!$C$6:$I$6,0))</f>
        <v>1.6470214885657651E-3</v>
      </c>
      <c r="F31" s="889">
        <f>INDEX(Vehicle.Em!$C$7:$I$44,MATCH($B31,Vehicle.Em!$B$7:$B$44,0),MATCH(F$5,Vehicle.Em!$C$6:$I$6,0))</f>
        <v>1.4034515995511082E-3</v>
      </c>
      <c r="G31" s="895">
        <f>INDEX(Vehicle.Em!$C$7:$I$44,MATCH($B31,Vehicle.Em!$B$7:$B$44,0),MATCH(G$5,Vehicle.Em!$C$6:$I$6,0))</f>
        <v>209.2309976057571</v>
      </c>
      <c r="I31" s="888">
        <f t="shared" si="2"/>
        <v>2044</v>
      </c>
      <c r="J31" s="889">
        <f>INDEX(Vehicle.Em!$L$7:$R$44,MATCH($I31,Vehicle.Em!$K$7:$K$44,0),MATCH(J$5,Vehicle.Em!$L$6:$R$6,0))</f>
        <v>1.2535270339153461</v>
      </c>
      <c r="K31" s="889">
        <f>INDEX(Vehicle.Em!$L$7:$R$44,MATCH($I31,Vehicle.Em!$K$7:$K$44,0),MATCH(K$5,Vehicle.Em!$L$6:$R$6,0))</f>
        <v>6.4833363961776538E-2</v>
      </c>
      <c r="L31" s="889">
        <f>INDEX(Vehicle.Em!$L$7:$R$44,MATCH($I31,Vehicle.Em!$K$7:$K$44,0),MATCH(L$5,Vehicle.Em!$L$6:$R$6,0))</f>
        <v>2.9734688051658759E-2</v>
      </c>
      <c r="M31" s="889">
        <f>INDEX(Vehicle.Em!$L$7:$R$44,MATCH($I31,Vehicle.Em!$K$7:$K$44,0),MATCH(M$5,Vehicle.Em!$L$6:$R$6,0))</f>
        <v>1.3240224798209957E-2</v>
      </c>
      <c r="N31" s="895">
        <f>INDEX(Vehicle.Em!$L$7:$R$44,MATCH($I31,Vehicle.Em!$K$7:$K$44,0),MATCH(N$5,Vehicle.Em!$L$6:$R$6,0))</f>
        <v>1588.0478269403609</v>
      </c>
      <c r="P31" s="1095">
        <f t="shared" si="0"/>
        <v>2044</v>
      </c>
      <c r="Q31" s="890">
        <f>SUMIFS('EMISSION COSTS'!$G$98:$G$131,'EMISSION COSTS'!$D$98:$D$131,P31)</f>
        <v>1.8143693999999999</v>
      </c>
    </row>
    <row r="32" spans="2:17" x14ac:dyDescent="0.25">
      <c r="B32" s="888">
        <f t="shared" si="1"/>
        <v>2045</v>
      </c>
      <c r="C32" s="889">
        <f>INDEX(Vehicle.Em!$C$7:$I$44,MATCH($B32,Vehicle.Em!$B$7:$B$44,0),MATCH(C$5,Vehicle.Em!$C$6:$I$6,0))</f>
        <v>8.688708278187433E-3</v>
      </c>
      <c r="D32" s="889">
        <f>INDEX(Vehicle.Em!$C$7:$I$44,MATCH($B32,Vehicle.Em!$B$7:$B$44,0),MATCH(D$5,Vehicle.Em!$C$6:$I$6,0))</f>
        <v>3.0025269211364477E-3</v>
      </c>
      <c r="E32" s="889">
        <f>INDEX(Vehicle.Em!$C$7:$I$44,MATCH($B32,Vehicle.Em!$B$7:$B$44,0),MATCH(E$5,Vehicle.Em!$C$6:$I$6,0))</f>
        <v>1.6182192645146601E-3</v>
      </c>
      <c r="F32" s="889">
        <f>INDEX(Vehicle.Em!$C$7:$I$44,MATCH($B32,Vehicle.Em!$B$7:$B$44,0),MATCH(F$5,Vehicle.Em!$C$6:$I$6,0))</f>
        <v>1.3927850086474761E-3</v>
      </c>
      <c r="G32" s="895">
        <f>INDEX(Vehicle.Em!$C$7:$I$44,MATCH($B32,Vehicle.Em!$B$7:$B$44,0),MATCH(G$5,Vehicle.Em!$C$6:$I$6,0))</f>
        <v>207.50399780273426</v>
      </c>
      <c r="I32" s="888">
        <f t="shared" si="2"/>
        <v>2045</v>
      </c>
      <c r="J32" s="889">
        <f>INDEX(Vehicle.Em!$L$7:$R$44,MATCH($I32,Vehicle.Em!$K$7:$K$44,0),MATCH(J$5,Vehicle.Em!$L$6:$R$6,0))</f>
        <v>1.2449497096240496</v>
      </c>
      <c r="K32" s="889">
        <f>INDEX(Vehicle.Em!$L$7:$R$44,MATCH($I32,Vehicle.Em!$K$7:$K$44,0),MATCH(K$5,Vehicle.Em!$L$6:$R$6,0))</f>
        <v>6.4379626419395181E-2</v>
      </c>
      <c r="L32" s="889">
        <f>INDEX(Vehicle.Em!$L$7:$R$44,MATCH($I32,Vehicle.Em!$K$7:$K$44,0),MATCH(L$5,Vehicle.Em!$L$6:$R$6,0))</f>
        <v>2.9369617404881844E-2</v>
      </c>
      <c r="M32" s="889">
        <f>INDEX(Vehicle.Em!$L$7:$R$44,MATCH($I32,Vehicle.Em!$K$7:$K$44,0),MATCH(M$5,Vehicle.Em!$L$6:$R$6,0))</f>
        <v>1.3233723060693585E-2</v>
      </c>
      <c r="N32" s="895">
        <f>INDEX(Vehicle.Em!$L$7:$R$44,MATCH($I32,Vehicle.Em!$K$7:$K$44,0),MATCH(N$5,Vehicle.Em!$L$6:$R$6,0))</f>
        <v>1587.32470321655</v>
      </c>
      <c r="P32" s="1095">
        <f t="shared" si="0"/>
        <v>2045</v>
      </c>
      <c r="Q32" s="890">
        <f>SUMIFS('EMISSION COSTS'!$G$98:$G$131,'EMISSION COSTS'!$D$98:$D$131,P32)</f>
        <v>1.8143693999999999</v>
      </c>
    </row>
    <row r="33" spans="2:17" x14ac:dyDescent="0.25">
      <c r="B33" s="888">
        <f t="shared" si="1"/>
        <v>2046</v>
      </c>
      <c r="C33" s="889">
        <f>INDEX(Vehicle.Em!$C$7:$I$44,MATCH($B33,Vehicle.Em!$B$7:$B$44,0),MATCH(C$5,Vehicle.Em!$C$6:$I$6,0))</f>
        <v>8.688708278187433E-3</v>
      </c>
      <c r="D33" s="889">
        <f>INDEX(Vehicle.Em!$C$7:$I$44,MATCH($B33,Vehicle.Em!$B$7:$B$44,0),MATCH(D$5,Vehicle.Em!$C$6:$I$6,0))</f>
        <v>3.0025269211364477E-3</v>
      </c>
      <c r="E33" s="889">
        <f>INDEX(Vehicle.Em!$C$7:$I$44,MATCH($B33,Vehicle.Em!$B$7:$B$44,0),MATCH(E$5,Vehicle.Em!$C$6:$I$6,0))</f>
        <v>1.6182192645146601E-3</v>
      </c>
      <c r="F33" s="889">
        <f>INDEX(Vehicle.Em!$C$7:$I$44,MATCH($B33,Vehicle.Em!$B$7:$B$44,0),MATCH(F$5,Vehicle.Em!$C$6:$I$6,0))</f>
        <v>1.3927850086474761E-3</v>
      </c>
      <c r="G33" s="895">
        <f>INDEX(Vehicle.Em!$C$7:$I$44,MATCH($B33,Vehicle.Em!$B$7:$B$44,0),MATCH(G$5,Vehicle.Em!$C$6:$I$6,0))</f>
        <v>207.50399780273426</v>
      </c>
      <c r="I33" s="888">
        <f t="shared" si="2"/>
        <v>2046</v>
      </c>
      <c r="J33" s="889">
        <f>INDEX(Vehicle.Em!$L$7:$R$44,MATCH($I33,Vehicle.Em!$K$7:$K$44,0),MATCH(J$5,Vehicle.Em!$L$6:$R$6,0))</f>
        <v>1.2449497096240496</v>
      </c>
      <c r="K33" s="889">
        <f>INDEX(Vehicle.Em!$L$7:$R$44,MATCH($I33,Vehicle.Em!$K$7:$K$44,0),MATCH(K$5,Vehicle.Em!$L$6:$R$6,0))</f>
        <v>6.4379626419395181E-2</v>
      </c>
      <c r="L33" s="889">
        <f>INDEX(Vehicle.Em!$L$7:$R$44,MATCH($I33,Vehicle.Em!$K$7:$K$44,0),MATCH(L$5,Vehicle.Em!$L$6:$R$6,0))</f>
        <v>2.9369617404881844E-2</v>
      </c>
      <c r="M33" s="889">
        <f>INDEX(Vehicle.Em!$L$7:$R$44,MATCH($I33,Vehicle.Em!$K$7:$K$44,0),MATCH(M$5,Vehicle.Em!$L$6:$R$6,0))</f>
        <v>1.3233723060693585E-2</v>
      </c>
      <c r="N33" s="895">
        <f>INDEX(Vehicle.Em!$L$7:$R$44,MATCH($I33,Vehicle.Em!$K$7:$K$44,0),MATCH(N$5,Vehicle.Em!$L$6:$R$6,0))</f>
        <v>1587.32470321655</v>
      </c>
      <c r="P33" s="1095">
        <f t="shared" si="0"/>
        <v>2046</v>
      </c>
      <c r="Q33" s="890">
        <f>SUMIFS('EMISSION COSTS'!$G$98:$G$131,'EMISSION COSTS'!$D$98:$D$131,P33)</f>
        <v>1.8143693999999999</v>
      </c>
    </row>
    <row r="34" spans="2:17" x14ac:dyDescent="0.25">
      <c r="B34" s="888">
        <f t="shared" si="1"/>
        <v>2047</v>
      </c>
      <c r="C34" s="889">
        <f>INDEX(Vehicle.Em!$C$7:$I$44,MATCH($B34,Vehicle.Em!$B$7:$B$44,0),MATCH(C$5,Vehicle.Em!$C$6:$I$6,0))</f>
        <v>8.688708278187433E-3</v>
      </c>
      <c r="D34" s="889">
        <f>INDEX(Vehicle.Em!$C$7:$I$44,MATCH($B34,Vehicle.Em!$B$7:$B$44,0),MATCH(D$5,Vehicle.Em!$C$6:$I$6,0))</f>
        <v>3.0025269211364477E-3</v>
      </c>
      <c r="E34" s="889">
        <f>INDEX(Vehicle.Em!$C$7:$I$44,MATCH($B34,Vehicle.Em!$B$7:$B$44,0),MATCH(E$5,Vehicle.Em!$C$6:$I$6,0))</f>
        <v>1.6182192645146601E-3</v>
      </c>
      <c r="F34" s="889">
        <f>INDEX(Vehicle.Em!$C$7:$I$44,MATCH($B34,Vehicle.Em!$B$7:$B$44,0),MATCH(F$5,Vehicle.Em!$C$6:$I$6,0))</f>
        <v>1.3927850086474761E-3</v>
      </c>
      <c r="G34" s="895">
        <f>INDEX(Vehicle.Em!$C$7:$I$44,MATCH($B34,Vehicle.Em!$B$7:$B$44,0),MATCH(G$5,Vehicle.Em!$C$6:$I$6,0))</f>
        <v>207.50399780273426</v>
      </c>
      <c r="I34" s="888">
        <f t="shared" si="2"/>
        <v>2047</v>
      </c>
      <c r="J34" s="889">
        <f>INDEX(Vehicle.Em!$L$7:$R$44,MATCH($I34,Vehicle.Em!$K$7:$K$44,0),MATCH(J$5,Vehicle.Em!$L$6:$R$6,0))</f>
        <v>1.2449497096240496</v>
      </c>
      <c r="K34" s="889">
        <f>INDEX(Vehicle.Em!$L$7:$R$44,MATCH($I34,Vehicle.Em!$K$7:$K$44,0),MATCH(K$5,Vehicle.Em!$L$6:$R$6,0))</f>
        <v>6.4379626419395181E-2</v>
      </c>
      <c r="L34" s="889">
        <f>INDEX(Vehicle.Em!$L$7:$R$44,MATCH($I34,Vehicle.Em!$K$7:$K$44,0),MATCH(L$5,Vehicle.Em!$L$6:$R$6,0))</f>
        <v>2.9369617404881844E-2</v>
      </c>
      <c r="M34" s="889">
        <f>INDEX(Vehicle.Em!$L$7:$R$44,MATCH($I34,Vehicle.Em!$K$7:$K$44,0),MATCH(M$5,Vehicle.Em!$L$6:$R$6,0))</f>
        <v>1.3233723060693585E-2</v>
      </c>
      <c r="N34" s="895">
        <f>INDEX(Vehicle.Em!$L$7:$R$44,MATCH($I34,Vehicle.Em!$K$7:$K$44,0),MATCH(N$5,Vehicle.Em!$L$6:$R$6,0))</f>
        <v>1587.32470321655</v>
      </c>
      <c r="P34" s="1095">
        <f t="shared" si="0"/>
        <v>2047</v>
      </c>
      <c r="Q34" s="890">
        <f>SUMIFS('EMISSION COSTS'!$G$98:$G$131,'EMISSION COSTS'!$D$98:$D$131,P34)</f>
        <v>1.8143693999999999</v>
      </c>
    </row>
    <row r="35" spans="2:17" x14ac:dyDescent="0.25">
      <c r="B35" s="888">
        <f t="shared" si="1"/>
        <v>2048</v>
      </c>
      <c r="C35" s="889">
        <f>INDEX(Vehicle.Em!$C$7:$I$44,MATCH($B35,Vehicle.Em!$B$7:$B$44,0),MATCH(C$5,Vehicle.Em!$C$6:$I$6,0))</f>
        <v>8.688708278187433E-3</v>
      </c>
      <c r="D35" s="889">
        <f>INDEX(Vehicle.Em!$C$7:$I$44,MATCH($B35,Vehicle.Em!$B$7:$B$44,0),MATCH(D$5,Vehicle.Em!$C$6:$I$6,0))</f>
        <v>3.0025269211364477E-3</v>
      </c>
      <c r="E35" s="889">
        <f>INDEX(Vehicle.Em!$C$7:$I$44,MATCH($B35,Vehicle.Em!$B$7:$B$44,0),MATCH(E$5,Vehicle.Em!$C$6:$I$6,0))</f>
        <v>1.6182192645146601E-3</v>
      </c>
      <c r="F35" s="889">
        <f>INDEX(Vehicle.Em!$C$7:$I$44,MATCH($B35,Vehicle.Em!$B$7:$B$44,0),MATCH(F$5,Vehicle.Em!$C$6:$I$6,0))</f>
        <v>1.3927850086474761E-3</v>
      </c>
      <c r="G35" s="895">
        <f>INDEX(Vehicle.Em!$C$7:$I$44,MATCH($B35,Vehicle.Em!$B$7:$B$44,0),MATCH(G$5,Vehicle.Em!$C$6:$I$6,0))</f>
        <v>207.50399780273426</v>
      </c>
      <c r="I35" s="888">
        <f t="shared" si="2"/>
        <v>2048</v>
      </c>
      <c r="J35" s="889">
        <f>INDEX(Vehicle.Em!$L$7:$R$44,MATCH($I35,Vehicle.Em!$K$7:$K$44,0),MATCH(J$5,Vehicle.Em!$L$6:$R$6,0))</f>
        <v>1.2449497096240496</v>
      </c>
      <c r="K35" s="889">
        <f>INDEX(Vehicle.Em!$L$7:$R$44,MATCH($I35,Vehicle.Em!$K$7:$K$44,0),MATCH(K$5,Vehicle.Em!$L$6:$R$6,0))</f>
        <v>6.4379626419395181E-2</v>
      </c>
      <c r="L35" s="889">
        <f>INDEX(Vehicle.Em!$L$7:$R$44,MATCH($I35,Vehicle.Em!$K$7:$K$44,0),MATCH(L$5,Vehicle.Em!$L$6:$R$6,0))</f>
        <v>2.9369617404881844E-2</v>
      </c>
      <c r="M35" s="889">
        <f>INDEX(Vehicle.Em!$L$7:$R$44,MATCH($I35,Vehicle.Em!$K$7:$K$44,0),MATCH(M$5,Vehicle.Em!$L$6:$R$6,0))</f>
        <v>1.3233723060693585E-2</v>
      </c>
      <c r="N35" s="895">
        <f>INDEX(Vehicle.Em!$L$7:$R$44,MATCH($I35,Vehicle.Em!$K$7:$K$44,0),MATCH(N$5,Vehicle.Em!$L$6:$R$6,0))</f>
        <v>1587.32470321655</v>
      </c>
      <c r="P35" s="1095">
        <f t="shared" si="0"/>
        <v>2048</v>
      </c>
      <c r="Q35" s="890">
        <f>SUMIFS('EMISSION COSTS'!$G$98:$G$131,'EMISSION COSTS'!$D$98:$D$131,P35)</f>
        <v>1.8143693999999999</v>
      </c>
    </row>
    <row r="36" spans="2:17" x14ac:dyDescent="0.25">
      <c r="B36" s="888">
        <f t="shared" si="1"/>
        <v>2049</v>
      </c>
      <c r="C36" s="889">
        <f>INDEX(Vehicle.Em!$C$7:$I$44,MATCH($B36,Vehicle.Em!$B$7:$B$44,0),MATCH(C$5,Vehicle.Em!$C$6:$I$6,0))</f>
        <v>8.688708278187433E-3</v>
      </c>
      <c r="D36" s="889">
        <f>INDEX(Vehicle.Em!$C$7:$I$44,MATCH($B36,Vehicle.Em!$B$7:$B$44,0),MATCH(D$5,Vehicle.Em!$C$6:$I$6,0))</f>
        <v>3.0025269211364477E-3</v>
      </c>
      <c r="E36" s="889">
        <f>INDEX(Vehicle.Em!$C$7:$I$44,MATCH($B36,Vehicle.Em!$B$7:$B$44,0),MATCH(E$5,Vehicle.Em!$C$6:$I$6,0))</f>
        <v>1.6182192645146601E-3</v>
      </c>
      <c r="F36" s="889">
        <f>INDEX(Vehicle.Em!$C$7:$I$44,MATCH($B36,Vehicle.Em!$B$7:$B$44,0),MATCH(F$5,Vehicle.Em!$C$6:$I$6,0))</f>
        <v>1.3927850086474761E-3</v>
      </c>
      <c r="G36" s="895">
        <f>INDEX(Vehicle.Em!$C$7:$I$44,MATCH($B36,Vehicle.Em!$B$7:$B$44,0),MATCH(G$5,Vehicle.Em!$C$6:$I$6,0))</f>
        <v>207.50399780273426</v>
      </c>
      <c r="I36" s="888">
        <f t="shared" si="2"/>
        <v>2049</v>
      </c>
      <c r="J36" s="889">
        <f>INDEX(Vehicle.Em!$L$7:$R$44,MATCH($I36,Vehicle.Em!$K$7:$K$44,0),MATCH(J$5,Vehicle.Em!$L$6:$R$6,0))</f>
        <v>1.2449497096240496</v>
      </c>
      <c r="K36" s="889">
        <f>INDEX(Vehicle.Em!$L$7:$R$44,MATCH($I36,Vehicle.Em!$K$7:$K$44,0),MATCH(K$5,Vehicle.Em!$L$6:$R$6,0))</f>
        <v>6.4379626419395181E-2</v>
      </c>
      <c r="L36" s="889">
        <f>INDEX(Vehicle.Em!$L$7:$R$44,MATCH($I36,Vehicle.Em!$K$7:$K$44,0),MATCH(L$5,Vehicle.Em!$L$6:$R$6,0))</f>
        <v>2.9369617404881844E-2</v>
      </c>
      <c r="M36" s="889">
        <f>INDEX(Vehicle.Em!$L$7:$R$44,MATCH($I36,Vehicle.Em!$K$7:$K$44,0),MATCH(M$5,Vehicle.Em!$L$6:$R$6,0))</f>
        <v>1.3233723060693585E-2</v>
      </c>
      <c r="N36" s="895">
        <f>INDEX(Vehicle.Em!$L$7:$R$44,MATCH($I36,Vehicle.Em!$K$7:$K$44,0),MATCH(N$5,Vehicle.Em!$L$6:$R$6,0))</f>
        <v>1587.32470321655</v>
      </c>
      <c r="P36" s="1095">
        <f t="shared" si="0"/>
        <v>2049</v>
      </c>
      <c r="Q36" s="890">
        <f>SUMIFS('EMISSION COSTS'!$G$98:$G$131,'EMISSION COSTS'!$D$98:$D$131,P36)</f>
        <v>1.8143693999999999</v>
      </c>
    </row>
    <row r="37" spans="2:17" ht="14.25" customHeight="1" x14ac:dyDescent="0.25">
      <c r="B37" s="888">
        <f t="shared" si="1"/>
        <v>2050</v>
      </c>
      <c r="C37" s="889">
        <f>INDEX(Vehicle.Em!$C$7:$I$44,MATCH($B37,Vehicle.Em!$B$7:$B$44,0),MATCH(C$5,Vehicle.Em!$C$6:$I$6,0))</f>
        <v>8.688708278187433E-3</v>
      </c>
      <c r="D37" s="889">
        <f>INDEX(Vehicle.Em!$C$7:$I$44,MATCH($B37,Vehicle.Em!$B$7:$B$44,0),MATCH(D$5,Vehicle.Em!$C$6:$I$6,0))</f>
        <v>3.0025269211364477E-3</v>
      </c>
      <c r="E37" s="889">
        <f>INDEX(Vehicle.Em!$C$7:$I$44,MATCH($B37,Vehicle.Em!$B$7:$B$44,0),MATCH(E$5,Vehicle.Em!$C$6:$I$6,0))</f>
        <v>1.6182192645146601E-3</v>
      </c>
      <c r="F37" s="889">
        <f>INDEX(Vehicle.Em!$C$7:$I$44,MATCH($B37,Vehicle.Em!$B$7:$B$44,0),MATCH(F$5,Vehicle.Em!$C$6:$I$6,0))</f>
        <v>1.3927850086474761E-3</v>
      </c>
      <c r="G37" s="895">
        <f>INDEX(Vehicle.Em!$C$7:$I$44,MATCH($B37,Vehicle.Em!$B$7:$B$44,0),MATCH(G$5,Vehicle.Em!$C$6:$I$6,0))</f>
        <v>207.50399780273426</v>
      </c>
      <c r="I37" s="888">
        <f t="shared" si="2"/>
        <v>2050</v>
      </c>
      <c r="J37" s="889">
        <f>INDEX(Vehicle.Em!$L$7:$R$44,MATCH($I37,Vehicle.Em!$K$7:$K$44,0),MATCH(J$5,Vehicle.Em!$L$6:$R$6,0))</f>
        <v>1.2449497096240496</v>
      </c>
      <c r="K37" s="889">
        <f>INDEX(Vehicle.Em!$L$7:$R$44,MATCH($I37,Vehicle.Em!$K$7:$K$44,0),MATCH(K$5,Vehicle.Em!$L$6:$R$6,0))</f>
        <v>6.4379626419395181E-2</v>
      </c>
      <c r="L37" s="889">
        <f>INDEX(Vehicle.Em!$L$7:$R$44,MATCH($I37,Vehicle.Em!$K$7:$K$44,0),MATCH(L$5,Vehicle.Em!$L$6:$R$6,0))</f>
        <v>2.9369617404881844E-2</v>
      </c>
      <c r="M37" s="889">
        <f>INDEX(Vehicle.Em!$L$7:$R$44,MATCH($I37,Vehicle.Em!$K$7:$K$44,0),MATCH(M$5,Vehicle.Em!$L$6:$R$6,0))</f>
        <v>1.3233723060693585E-2</v>
      </c>
      <c r="N37" s="895">
        <f>INDEX(Vehicle.Em!$L$7:$R$44,MATCH($I37,Vehicle.Em!$K$7:$K$44,0),MATCH(N$5,Vehicle.Em!$L$6:$R$6,0))</f>
        <v>1587.32470321655</v>
      </c>
      <c r="P37" s="1095">
        <f t="shared" si="0"/>
        <v>2050</v>
      </c>
      <c r="Q37" s="890">
        <f>SUMIFS('EMISSION COSTS'!$G$98:$G$131,'EMISSION COSTS'!$D$98:$D$131,P37)</f>
        <v>1.8143693999999999</v>
      </c>
    </row>
    <row r="38" spans="2:17" x14ac:dyDescent="0.25">
      <c r="B38" s="888">
        <f t="shared" si="1"/>
        <v>2051</v>
      </c>
      <c r="C38" s="889">
        <f>INDEX(Vehicle.Em!$C$7:$I$44,MATCH($B38,Vehicle.Em!$B$7:$B$44,0),MATCH(C$5,Vehicle.Em!$C$6:$I$6,0))</f>
        <v>8.688708278187433E-3</v>
      </c>
      <c r="D38" s="889">
        <f>INDEX(Vehicle.Em!$C$7:$I$44,MATCH($B38,Vehicle.Em!$B$7:$B$44,0),MATCH(D$5,Vehicle.Em!$C$6:$I$6,0))</f>
        <v>3.0025269211364477E-3</v>
      </c>
      <c r="E38" s="889">
        <f>INDEX(Vehicle.Em!$C$7:$I$44,MATCH($B38,Vehicle.Em!$B$7:$B$44,0),MATCH(E$5,Vehicle.Em!$C$6:$I$6,0))</f>
        <v>1.6182192645146601E-3</v>
      </c>
      <c r="F38" s="889">
        <f>INDEX(Vehicle.Em!$C$7:$I$44,MATCH($B38,Vehicle.Em!$B$7:$B$44,0),MATCH(F$5,Vehicle.Em!$C$6:$I$6,0))</f>
        <v>1.3927850086474761E-3</v>
      </c>
      <c r="G38" s="895">
        <f>INDEX(Vehicle.Em!$C$7:$I$44,MATCH($B38,Vehicle.Em!$B$7:$B$44,0),MATCH(G$5,Vehicle.Em!$C$6:$I$6,0))</f>
        <v>207.50399780273426</v>
      </c>
      <c r="I38" s="888">
        <f t="shared" si="2"/>
        <v>2051</v>
      </c>
      <c r="J38" s="889">
        <f>INDEX(Vehicle.Em!$L$7:$R$44,MATCH($I38,Vehicle.Em!$K$7:$K$44,0),MATCH(J$5,Vehicle.Em!$L$6:$R$6,0))</f>
        <v>1.2449497096240496</v>
      </c>
      <c r="K38" s="889">
        <f>INDEX(Vehicle.Em!$L$7:$R$44,MATCH($I38,Vehicle.Em!$K$7:$K$44,0),MATCH(K$5,Vehicle.Em!$L$6:$R$6,0))</f>
        <v>6.4379626419395181E-2</v>
      </c>
      <c r="L38" s="889">
        <f>INDEX(Vehicle.Em!$L$7:$R$44,MATCH($I38,Vehicle.Em!$K$7:$K$44,0),MATCH(L$5,Vehicle.Em!$L$6:$R$6,0))</f>
        <v>2.9369617404881844E-2</v>
      </c>
      <c r="M38" s="889">
        <f>INDEX(Vehicle.Em!$L$7:$R$44,MATCH($I38,Vehicle.Em!$K$7:$K$44,0),MATCH(M$5,Vehicle.Em!$L$6:$R$6,0))</f>
        <v>1.3233723060693585E-2</v>
      </c>
      <c r="N38" s="895">
        <f>INDEX(Vehicle.Em!$L$7:$R$44,MATCH($I38,Vehicle.Em!$K$7:$K$44,0),MATCH(N$5,Vehicle.Em!$L$6:$R$6,0))</f>
        <v>1587.32470321655</v>
      </c>
      <c r="P38" s="1095">
        <f t="shared" si="0"/>
        <v>2051</v>
      </c>
      <c r="Q38" s="890">
        <f>Q37</f>
        <v>1.8143693999999999</v>
      </c>
    </row>
    <row r="39" spans="2:17" x14ac:dyDescent="0.25">
      <c r="B39" s="888">
        <f t="shared" si="1"/>
        <v>2052</v>
      </c>
      <c r="C39" s="889">
        <f>INDEX(Vehicle.Em!$C$7:$I$44,MATCH($B39,Vehicle.Em!$B$7:$B$44,0),MATCH(C$5,Vehicle.Em!$C$6:$I$6,0))</f>
        <v>8.688708278187433E-3</v>
      </c>
      <c r="D39" s="889">
        <f>INDEX(Vehicle.Em!$C$7:$I$44,MATCH($B39,Vehicle.Em!$B$7:$B$44,0),MATCH(D$5,Vehicle.Em!$C$6:$I$6,0))</f>
        <v>3.0025269211364477E-3</v>
      </c>
      <c r="E39" s="889">
        <f>INDEX(Vehicle.Em!$C$7:$I$44,MATCH($B39,Vehicle.Em!$B$7:$B$44,0),MATCH(E$5,Vehicle.Em!$C$6:$I$6,0))</f>
        <v>1.6182192645146601E-3</v>
      </c>
      <c r="F39" s="889">
        <f>INDEX(Vehicle.Em!$C$7:$I$44,MATCH($B39,Vehicle.Em!$B$7:$B$44,0),MATCH(F$5,Vehicle.Em!$C$6:$I$6,0))</f>
        <v>1.3927850086474761E-3</v>
      </c>
      <c r="G39" s="895">
        <f>INDEX(Vehicle.Em!$C$7:$I$44,MATCH($B39,Vehicle.Em!$B$7:$B$44,0),MATCH(G$5,Vehicle.Em!$C$6:$I$6,0))</f>
        <v>207.50399780273426</v>
      </c>
      <c r="I39" s="888">
        <f t="shared" si="2"/>
        <v>2052</v>
      </c>
      <c r="J39" s="889">
        <f>INDEX(Vehicle.Em!$L$7:$R$44,MATCH($I39,Vehicle.Em!$K$7:$K$44,0),MATCH(J$5,Vehicle.Em!$L$6:$R$6,0))</f>
        <v>1.2449497096240496</v>
      </c>
      <c r="K39" s="889">
        <f>INDEX(Vehicle.Em!$L$7:$R$44,MATCH($I39,Vehicle.Em!$K$7:$K$44,0),MATCH(K$5,Vehicle.Em!$L$6:$R$6,0))</f>
        <v>6.4379626419395181E-2</v>
      </c>
      <c r="L39" s="889">
        <f>INDEX(Vehicle.Em!$L$7:$R$44,MATCH($I39,Vehicle.Em!$K$7:$K$44,0),MATCH(L$5,Vehicle.Em!$L$6:$R$6,0))</f>
        <v>2.9369617404881844E-2</v>
      </c>
      <c r="M39" s="889">
        <f>INDEX(Vehicle.Em!$L$7:$R$44,MATCH($I39,Vehicle.Em!$K$7:$K$44,0),MATCH(M$5,Vehicle.Em!$L$6:$R$6,0))</f>
        <v>1.3233723060693585E-2</v>
      </c>
      <c r="N39" s="895">
        <f>INDEX(Vehicle.Em!$L$7:$R$44,MATCH($I39,Vehicle.Em!$K$7:$K$44,0),MATCH(N$5,Vehicle.Em!$L$6:$R$6,0))</f>
        <v>1587.32470321655</v>
      </c>
      <c r="P39" s="1095">
        <f t="shared" si="0"/>
        <v>2052</v>
      </c>
      <c r="Q39" s="890">
        <f t="shared" ref="Q39:Q40" si="3">Q38</f>
        <v>1.8143693999999999</v>
      </c>
    </row>
    <row r="40" spans="2:17" x14ac:dyDescent="0.25">
      <c r="B40" s="888">
        <f t="shared" si="1"/>
        <v>2053</v>
      </c>
      <c r="C40" s="889">
        <f>INDEX(Vehicle.Em!$C$7:$I$44,MATCH($B40,Vehicle.Em!$B$7:$B$44,0),MATCH(C$5,Vehicle.Em!$C$6:$I$6,0))</f>
        <v>8.688708278187433E-3</v>
      </c>
      <c r="D40" s="889">
        <f>INDEX(Vehicle.Em!$C$7:$I$44,MATCH($B40,Vehicle.Em!$B$7:$B$44,0),MATCH(D$5,Vehicle.Em!$C$6:$I$6,0))</f>
        <v>3.0025269211364477E-3</v>
      </c>
      <c r="E40" s="889">
        <f>INDEX(Vehicle.Em!$C$7:$I$44,MATCH($B40,Vehicle.Em!$B$7:$B$44,0),MATCH(E$5,Vehicle.Em!$C$6:$I$6,0))</f>
        <v>1.6182192645146601E-3</v>
      </c>
      <c r="F40" s="889">
        <f>INDEX(Vehicle.Em!$C$7:$I$44,MATCH($B40,Vehicle.Em!$B$7:$B$44,0),MATCH(F$5,Vehicle.Em!$C$6:$I$6,0))</f>
        <v>1.3927850086474761E-3</v>
      </c>
      <c r="G40" s="895">
        <f>INDEX(Vehicle.Em!$C$7:$I$44,MATCH($B40,Vehicle.Em!$B$7:$B$44,0),MATCH(G$5,Vehicle.Em!$C$6:$I$6,0))</f>
        <v>207.50399780273426</v>
      </c>
      <c r="I40" s="888">
        <f t="shared" si="2"/>
        <v>2053</v>
      </c>
      <c r="J40" s="889">
        <f>INDEX(Vehicle.Em!$L$7:$R$44,MATCH($I40,Vehicle.Em!$K$7:$K$44,0),MATCH(J$5,Vehicle.Em!$L$6:$R$6,0))</f>
        <v>1.2449497096240496</v>
      </c>
      <c r="K40" s="889">
        <f>INDEX(Vehicle.Em!$L$7:$R$44,MATCH($I40,Vehicle.Em!$K$7:$K$44,0),MATCH(K$5,Vehicle.Em!$L$6:$R$6,0))</f>
        <v>6.4379626419395181E-2</v>
      </c>
      <c r="L40" s="889">
        <f>INDEX(Vehicle.Em!$L$7:$R$44,MATCH($I40,Vehicle.Em!$K$7:$K$44,0),MATCH(L$5,Vehicle.Em!$L$6:$R$6,0))</f>
        <v>2.9369617404881844E-2</v>
      </c>
      <c r="M40" s="889">
        <f>INDEX(Vehicle.Em!$L$7:$R$44,MATCH($I40,Vehicle.Em!$K$7:$K$44,0),MATCH(M$5,Vehicle.Em!$L$6:$R$6,0))</f>
        <v>1.3233723060693585E-2</v>
      </c>
      <c r="N40" s="895">
        <f>INDEX(Vehicle.Em!$L$7:$R$44,MATCH($I40,Vehicle.Em!$K$7:$K$44,0),MATCH(N$5,Vehicle.Em!$L$6:$R$6,0))</f>
        <v>1587.32470321655</v>
      </c>
      <c r="P40" s="1095">
        <f t="shared" si="0"/>
        <v>2053</v>
      </c>
      <c r="Q40" s="890">
        <f t="shared" si="3"/>
        <v>1.8143693999999999</v>
      </c>
    </row>
    <row r="41" spans="2:17" x14ac:dyDescent="0.25">
      <c r="B41" s="888">
        <f t="shared" si="1"/>
        <v>2054</v>
      </c>
      <c r="C41" s="889">
        <f>C40</f>
        <v>8.688708278187433E-3</v>
      </c>
      <c r="D41" s="889">
        <f t="shared" ref="D41:G41" si="4">D40</f>
        <v>3.0025269211364477E-3</v>
      </c>
      <c r="E41" s="889">
        <f t="shared" si="4"/>
        <v>1.6182192645146601E-3</v>
      </c>
      <c r="F41" s="889">
        <f t="shared" si="4"/>
        <v>1.3927850086474761E-3</v>
      </c>
      <c r="G41" s="895">
        <f t="shared" si="4"/>
        <v>207.50399780273426</v>
      </c>
      <c r="I41" s="888">
        <f t="shared" si="2"/>
        <v>2054</v>
      </c>
      <c r="J41" s="889">
        <f>J40</f>
        <v>1.2449497096240496</v>
      </c>
      <c r="K41" s="889">
        <f t="shared" ref="K41" si="5">K40</f>
        <v>6.4379626419395181E-2</v>
      </c>
      <c r="L41" s="889">
        <f t="shared" ref="L41" si="6">L40</f>
        <v>2.9369617404881844E-2</v>
      </c>
      <c r="M41" s="889">
        <f t="shared" ref="M41" si="7">M40</f>
        <v>1.3233723060693585E-2</v>
      </c>
      <c r="N41" s="895">
        <f t="shared" ref="N41" si="8">N40</f>
        <v>1587.32470321655</v>
      </c>
      <c r="P41" s="888">
        <f t="shared" si="0"/>
        <v>2054</v>
      </c>
      <c r="Q41" s="890">
        <f>Q40</f>
        <v>1.8143693999999999</v>
      </c>
    </row>
    <row r="42" spans="2:17" ht="24.05" customHeight="1" x14ac:dyDescent="0.25">
      <c r="B42" s="1224" t="s">
        <v>803</v>
      </c>
      <c r="C42" s="1225"/>
      <c r="D42" s="1225"/>
      <c r="E42" s="1225"/>
      <c r="F42" s="1225"/>
      <c r="G42" s="1226"/>
      <c r="I42" s="1224" t="s">
        <v>803</v>
      </c>
      <c r="J42" s="1225"/>
      <c r="K42" s="1225"/>
      <c r="L42" s="1225"/>
      <c r="M42" s="1225"/>
      <c r="N42" s="1226"/>
      <c r="P42" s="1227" t="s">
        <v>803</v>
      </c>
      <c r="Q42" s="1228"/>
    </row>
    <row r="43" spans="2:17" ht="87.75" customHeight="1" x14ac:dyDescent="0.25">
      <c r="B43" s="1229" t="s">
        <v>1114</v>
      </c>
      <c r="C43" s="1229"/>
      <c r="D43" s="1229"/>
      <c r="E43" s="1229"/>
      <c r="F43" s="1229"/>
      <c r="G43" s="1229"/>
      <c r="I43" s="1229" t="s">
        <v>1113</v>
      </c>
      <c r="J43" s="1229"/>
      <c r="K43" s="1229"/>
      <c r="L43" s="1229"/>
      <c r="M43" s="1229"/>
      <c r="N43" s="1229"/>
      <c r="P43" s="1230" t="s">
        <v>804</v>
      </c>
      <c r="Q43" s="1231"/>
    </row>
    <row r="45" spans="2:17" ht="43.55" customHeight="1" x14ac:dyDescent="0.25">
      <c r="P45" s="1232" t="s">
        <v>1115</v>
      </c>
      <c r="Q45" s="1233"/>
    </row>
    <row r="46" spans="2:17" x14ac:dyDescent="0.25">
      <c r="P46" s="886" t="s">
        <v>805</v>
      </c>
      <c r="Q46" s="885" t="s">
        <v>1</v>
      </c>
    </row>
    <row r="47" spans="2:17" ht="30.15" x14ac:dyDescent="0.25">
      <c r="P47" s="891" t="s">
        <v>806</v>
      </c>
      <c r="Q47" s="892">
        <f>'EMISSION COSTS'!$G$83</f>
        <v>8300</v>
      </c>
    </row>
    <row r="48" spans="2:17" ht="45.2" x14ac:dyDescent="0.25">
      <c r="P48" s="891" t="s">
        <v>807</v>
      </c>
      <c r="Q48" s="892">
        <f>'EMISSION COSTS'!$G$82</f>
        <v>2000</v>
      </c>
    </row>
    <row r="49" spans="16:17" ht="14.25" customHeight="1" x14ac:dyDescent="0.25">
      <c r="P49" s="891" t="s">
        <v>808</v>
      </c>
      <c r="Q49" s="892">
        <f>'EMISSION COSTS'!$G$84</f>
        <v>377800</v>
      </c>
    </row>
    <row r="50" spans="16:17" ht="30.15" x14ac:dyDescent="0.25">
      <c r="P50" s="891" t="s">
        <v>809</v>
      </c>
      <c r="Q50" s="892">
        <f>'EMISSION COSTS'!$G$85</f>
        <v>48900</v>
      </c>
    </row>
    <row r="51" spans="16:17" x14ac:dyDescent="0.25">
      <c r="P51" s="893" t="s">
        <v>810</v>
      </c>
      <c r="Q51" s="893"/>
    </row>
    <row r="52" spans="16:17" ht="92.95" customHeight="1" x14ac:dyDescent="0.25">
      <c r="P52" s="1234" t="s">
        <v>811</v>
      </c>
      <c r="Q52" s="1234"/>
    </row>
    <row r="64" spans="16:17" ht="24.05" customHeight="1" x14ac:dyDescent="0.25"/>
    <row r="69" spans="4:4" ht="36" customHeight="1" x14ac:dyDescent="0.25"/>
    <row r="72" spans="4:4" ht="41.25" customHeight="1" x14ac:dyDescent="0.25"/>
    <row r="74" spans="4:4" ht="133.55000000000001" customHeight="1" x14ac:dyDescent="0.25">
      <c r="D74" s="894"/>
    </row>
  </sheetData>
  <mergeCells count="11">
    <mergeCell ref="B43:G43"/>
    <mergeCell ref="I43:N43"/>
    <mergeCell ref="P43:Q43"/>
    <mergeCell ref="P45:Q45"/>
    <mergeCell ref="P52:Q52"/>
    <mergeCell ref="B4:G4"/>
    <mergeCell ref="I4:N4"/>
    <mergeCell ref="P4:Q4"/>
    <mergeCell ref="B42:G42"/>
    <mergeCell ref="I42:N42"/>
    <mergeCell ref="P42:Q4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82"/>
  <sheetViews>
    <sheetView zoomScale="90" zoomScaleNormal="90" workbookViewId="0"/>
  </sheetViews>
  <sheetFormatPr defaultRowHeight="14.4" x14ac:dyDescent="0.25"/>
  <cols>
    <col min="1" max="1" width="2.33203125" customWidth="1"/>
    <col min="2" max="2" width="51.6640625" customWidth="1"/>
    <col min="3" max="3" width="13.21875" customWidth="1"/>
    <col min="4" max="8" width="12.109375" customWidth="1"/>
    <col min="9" max="9" width="12.88671875" customWidth="1"/>
    <col min="10" max="10" width="12.33203125" bestFit="1" customWidth="1"/>
    <col min="11" max="11" width="10.88671875" customWidth="1"/>
  </cols>
  <sheetData>
    <row r="1" spans="2:38" ht="4.75" customHeight="1" x14ac:dyDescent="0.25"/>
    <row r="2" spans="2:38" ht="15.05" customHeight="1" x14ac:dyDescent="0.3">
      <c r="B2" s="765" t="s">
        <v>1144</v>
      </c>
    </row>
    <row r="3" spans="2:38" ht="15.05" customHeight="1" x14ac:dyDescent="0.3">
      <c r="B3" s="765"/>
    </row>
    <row r="4" spans="2:38" ht="15.05" customHeight="1" x14ac:dyDescent="0.25">
      <c r="B4" s="640" t="s">
        <v>976</v>
      </c>
    </row>
    <row r="5" spans="2:38" ht="15.05" customHeight="1" x14ac:dyDescent="0.25">
      <c r="B5" s="647" t="s">
        <v>1011</v>
      </c>
      <c r="C5" s="1063">
        <f>'Reduced Travel Time '!$D$25</f>
        <v>25879.491000000002</v>
      </c>
    </row>
    <row r="6" spans="2:38" ht="15.05" customHeight="1" x14ac:dyDescent="0.25">
      <c r="B6" s="647" t="s">
        <v>849</v>
      </c>
      <c r="C6" s="1063">
        <f>'Operating Cost Savings'!$D$18</f>
        <v>11334.431250000001</v>
      </c>
    </row>
    <row r="7" spans="2:38" ht="15.05" customHeight="1" x14ac:dyDescent="0.25">
      <c r="B7" s="647" t="s">
        <v>1012</v>
      </c>
      <c r="C7" s="1063">
        <f>Emissions!$D$61</f>
        <v>49.384107509465572</v>
      </c>
    </row>
    <row r="8" spans="2:38" ht="15.05" customHeight="1" x14ac:dyDescent="0.25"/>
    <row r="9" spans="2:38" x14ac:dyDescent="0.25">
      <c r="B9" s="642" t="s">
        <v>960</v>
      </c>
      <c r="C9" s="3"/>
      <c r="D9" s="672"/>
      <c r="E9" s="672"/>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row>
    <row r="10" spans="2:38" ht="15.05" customHeight="1" x14ac:dyDescent="0.25"/>
    <row r="11" spans="2:38" ht="15.05" customHeight="1" x14ac:dyDescent="0.25">
      <c r="B11" s="640" t="s">
        <v>975</v>
      </c>
    </row>
    <row r="12" spans="2:38" ht="15.05" customHeight="1" x14ac:dyDescent="0.25">
      <c r="B12" s="1019" t="s">
        <v>979</v>
      </c>
    </row>
    <row r="13" spans="2:38" ht="17.05" x14ac:dyDescent="0.25">
      <c r="B13" s="647" t="s">
        <v>1001</v>
      </c>
      <c r="C13" s="1046">
        <v>10000</v>
      </c>
      <c r="D13" s="1046">
        <v>11150</v>
      </c>
      <c r="E13" s="1046">
        <v>15650</v>
      </c>
      <c r="F13" s="1046">
        <v>17300</v>
      </c>
      <c r="G13" s="1046">
        <v>20900</v>
      </c>
      <c r="H13" s="1047">
        <v>26900</v>
      </c>
      <c r="I13" s="1046">
        <v>29200</v>
      </c>
    </row>
    <row r="14" spans="2:38" ht="14.25" customHeight="1" x14ac:dyDescent="0.25">
      <c r="B14" s="647" t="s">
        <v>1002</v>
      </c>
      <c r="C14" s="1048">
        <v>2.7199999999999998E-2</v>
      </c>
      <c r="D14" s="1048">
        <v>0.02</v>
      </c>
      <c r="E14" s="1048">
        <v>0.01</v>
      </c>
      <c r="F14" s="1048">
        <v>7.4000000000000003E-3</v>
      </c>
      <c r="G14" s="1048">
        <v>5.0000000000000001E-3</v>
      </c>
      <c r="H14" s="1049">
        <v>2.5999999999999999E-3</v>
      </c>
      <c r="I14" s="1048">
        <v>2E-3</v>
      </c>
    </row>
    <row r="15" spans="2:38" ht="14.25" customHeight="1" x14ac:dyDescent="0.25">
      <c r="B15" s="647" t="s">
        <v>1013</v>
      </c>
      <c r="C15" s="1064">
        <v>0</v>
      </c>
      <c r="D15" s="1064">
        <f>$H$15*('Damage Costs - Rail'!D16/'Damage Costs - Rail'!$H$16)</f>
        <v>0.68181818181818188</v>
      </c>
      <c r="E15" s="1064">
        <f>$H$15*('Damage Costs - Rail'!E16/'Damage Costs - Rail'!$H$16)</f>
        <v>4.7727272727272725</v>
      </c>
      <c r="F15" s="1064">
        <f>$H$15*('Damage Costs - Rail'!F16/'Damage Costs - Rail'!$H$16)</f>
        <v>6.8181818181818183</v>
      </c>
      <c r="G15" s="1064">
        <f>$H$15*('Damage Costs - Rail'!G16/'Damage Costs - Rail'!$H$16)</f>
        <v>9.545454545454545</v>
      </c>
      <c r="H15" s="1050">
        <f>Assumptions!$D$32</f>
        <v>15</v>
      </c>
      <c r="I15" s="1064">
        <f>$H$15*('Damage Costs - Rail'!I16/'Damage Costs - Rail'!$H$16)</f>
        <v>17.045454545454547</v>
      </c>
    </row>
    <row r="16" spans="2:38" x14ac:dyDescent="0.25">
      <c r="C16" s="4"/>
      <c r="D16" s="4"/>
      <c r="E16" s="4"/>
      <c r="F16" s="4"/>
      <c r="G16" s="4"/>
      <c r="H16" s="4"/>
      <c r="I16" s="4"/>
    </row>
    <row r="17" spans="2:38" x14ac:dyDescent="0.25">
      <c r="B17" s="640" t="s">
        <v>997</v>
      </c>
      <c r="C17" s="4"/>
      <c r="D17" s="4"/>
      <c r="E17" s="4"/>
      <c r="F17" s="4"/>
      <c r="G17" s="4"/>
      <c r="H17" s="4"/>
      <c r="I17" s="4"/>
    </row>
    <row r="18" spans="2:38" x14ac:dyDescent="0.25">
      <c r="B18" s="647" t="s">
        <v>1011</v>
      </c>
      <c r="C18" s="1043">
        <f>C15*$C$5</f>
        <v>0</v>
      </c>
      <c r="D18" s="1043">
        <f t="shared" ref="D18:I18" si="0">D15*$C$5</f>
        <v>17645.107500000002</v>
      </c>
      <c r="E18" s="1043">
        <f t="shared" si="0"/>
        <v>123515.7525</v>
      </c>
      <c r="F18" s="1043">
        <f t="shared" si="0"/>
        <v>176451.07500000001</v>
      </c>
      <c r="G18" s="1043">
        <f t="shared" si="0"/>
        <v>247031.505</v>
      </c>
      <c r="H18" s="1043">
        <f t="shared" si="0"/>
        <v>388192.36500000005</v>
      </c>
      <c r="I18" s="1043">
        <f t="shared" si="0"/>
        <v>441127.68750000006</v>
      </c>
    </row>
    <row r="19" spans="2:38" x14ac:dyDescent="0.25">
      <c r="B19" s="647" t="s">
        <v>849</v>
      </c>
      <c r="C19" s="1043">
        <f>C15*$C$6</f>
        <v>0</v>
      </c>
      <c r="D19" s="1043">
        <f t="shared" ref="D19:I19" si="1">D15*$C$6</f>
        <v>7728.0213068181838</v>
      </c>
      <c r="E19" s="1043">
        <f t="shared" si="1"/>
        <v>54096.149147727279</v>
      </c>
      <c r="F19" s="1043">
        <f t="shared" si="1"/>
        <v>77280.213068181823</v>
      </c>
      <c r="G19" s="1043">
        <f t="shared" si="1"/>
        <v>108192.29829545456</v>
      </c>
      <c r="H19" s="1043">
        <f t="shared" si="1"/>
        <v>170016.46875000003</v>
      </c>
      <c r="I19" s="1043">
        <f t="shared" si="1"/>
        <v>193200.53267045459</v>
      </c>
    </row>
    <row r="20" spans="2:38" x14ac:dyDescent="0.25">
      <c r="B20" s="647" t="s">
        <v>1012</v>
      </c>
      <c r="C20" s="1043">
        <f>C15*$C$7</f>
        <v>0</v>
      </c>
      <c r="D20" s="1043">
        <f t="shared" ref="D20:I20" si="2">D15*$C$7</f>
        <v>33.670982392817436</v>
      </c>
      <c r="E20" s="1043">
        <f t="shared" si="2"/>
        <v>235.69687674972204</v>
      </c>
      <c r="F20" s="1043">
        <f t="shared" si="2"/>
        <v>336.70982392817439</v>
      </c>
      <c r="G20" s="1043">
        <f t="shared" si="2"/>
        <v>471.39375349944407</v>
      </c>
      <c r="H20" s="1043">
        <f t="shared" si="2"/>
        <v>740.76161264198356</v>
      </c>
      <c r="I20" s="1043">
        <f t="shared" si="2"/>
        <v>841.77455982043591</v>
      </c>
    </row>
    <row r="21" spans="2:38" x14ac:dyDescent="0.25">
      <c r="B21" s="935" t="s">
        <v>393</v>
      </c>
      <c r="C21" s="1065">
        <f t="shared" ref="C21:I21" si="3">SUM(C18:C20)</f>
        <v>0</v>
      </c>
      <c r="D21" s="1065">
        <f t="shared" si="3"/>
        <v>25406.799789211003</v>
      </c>
      <c r="E21" s="1065">
        <f t="shared" si="3"/>
        <v>177847.59852447701</v>
      </c>
      <c r="F21" s="1065">
        <f t="shared" si="3"/>
        <v>254067.99789211</v>
      </c>
      <c r="G21" s="1065">
        <f t="shared" si="3"/>
        <v>355695.19704895403</v>
      </c>
      <c r="H21" s="1066">
        <f t="shared" si="3"/>
        <v>558949.59536264208</v>
      </c>
      <c r="I21" s="1065">
        <f t="shared" si="3"/>
        <v>635169.99473027501</v>
      </c>
    </row>
    <row r="22" spans="2:38" x14ac:dyDescent="0.25">
      <c r="B22" s="650"/>
      <c r="C22" s="1012"/>
      <c r="D22" s="1014"/>
      <c r="E22" s="1014"/>
      <c r="F22" s="1014"/>
      <c r="G22" s="1014"/>
      <c r="H22" s="1018"/>
      <c r="I22" s="1014"/>
    </row>
    <row r="23" spans="2:38" x14ac:dyDescent="0.25">
      <c r="B23" s="642" t="s">
        <v>605</v>
      </c>
      <c r="C23" s="3"/>
      <c r="D23" s="672"/>
      <c r="E23" s="672"/>
      <c r="F23" s="672"/>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2"/>
    </row>
    <row r="24" spans="2:38" s="657" customFormat="1" x14ac:dyDescent="0.25">
      <c r="B24" s="776"/>
      <c r="C24" s="771"/>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0"/>
    </row>
    <row r="25" spans="2:38" s="657" customFormat="1" x14ac:dyDescent="0.25">
      <c r="B25" s="640" t="s">
        <v>975</v>
      </c>
      <c r="C25" s="771"/>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c r="AJ25" s="750"/>
      <c r="AK25" s="750"/>
      <c r="AL25" s="750"/>
    </row>
    <row r="26" spans="2:38" s="657" customFormat="1" x14ac:dyDescent="0.25">
      <c r="B26" s="1019" t="s">
        <v>979</v>
      </c>
      <c r="C26" s="771"/>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row>
    <row r="27" spans="2:38" ht="15.05" customHeight="1" x14ac:dyDescent="0.25">
      <c r="B27" s="647" t="s">
        <v>983</v>
      </c>
      <c r="C27" s="1060">
        <f t="shared" ref="C27:I28" si="4">C13</f>
        <v>10000</v>
      </c>
      <c r="D27" s="1060">
        <f t="shared" si="4"/>
        <v>11150</v>
      </c>
      <c r="E27" s="1060">
        <f t="shared" si="4"/>
        <v>15650</v>
      </c>
      <c r="F27" s="1060">
        <f t="shared" si="4"/>
        <v>17300</v>
      </c>
      <c r="G27" s="1060">
        <f t="shared" si="4"/>
        <v>20900</v>
      </c>
      <c r="H27" s="1060">
        <f t="shared" si="4"/>
        <v>26900</v>
      </c>
      <c r="I27" s="1060">
        <f t="shared" si="4"/>
        <v>29200</v>
      </c>
    </row>
    <row r="28" spans="2:38" ht="14.25" customHeight="1" x14ac:dyDescent="0.25">
      <c r="B28" s="647" t="s">
        <v>972</v>
      </c>
      <c r="C28" s="1061">
        <f t="shared" si="4"/>
        <v>2.7199999999999998E-2</v>
      </c>
      <c r="D28" s="1061">
        <f t="shared" si="4"/>
        <v>0.02</v>
      </c>
      <c r="E28" s="1061">
        <f t="shared" si="4"/>
        <v>0.01</v>
      </c>
      <c r="F28" s="1061">
        <f t="shared" si="4"/>
        <v>7.4000000000000003E-3</v>
      </c>
      <c r="G28" s="1061">
        <f t="shared" si="4"/>
        <v>5.0000000000000001E-3</v>
      </c>
      <c r="H28" s="1061">
        <f t="shared" si="4"/>
        <v>2.5999999999999999E-3</v>
      </c>
      <c r="I28" s="1061">
        <f t="shared" si="4"/>
        <v>2E-3</v>
      </c>
    </row>
    <row r="29" spans="2:38" ht="14.25" customHeight="1" x14ac:dyDescent="0.25">
      <c r="B29" s="647" t="s">
        <v>1013</v>
      </c>
      <c r="C29" s="1055">
        <v>0</v>
      </c>
      <c r="D29" s="1055">
        <v>0</v>
      </c>
      <c r="E29" s="1055">
        <v>0</v>
      </c>
      <c r="F29" s="1055">
        <v>0</v>
      </c>
      <c r="G29" s="1057">
        <f>G15*('Damage Costs - Rail'!G33/'Damage Costs - Rail'!G16)</f>
        <v>2.7272727272727271</v>
      </c>
      <c r="H29" s="1057">
        <f>H15*('Damage Costs - Rail'!H33/'Damage Costs - Rail'!H16)</f>
        <v>8.1818181818181817</v>
      </c>
      <c r="I29" s="1057">
        <f>I15*('Damage Costs - Rail'!I33/'Damage Costs - Rail'!I16)</f>
        <v>10.227272727272728</v>
      </c>
    </row>
    <row r="30" spans="2:38" x14ac:dyDescent="0.25">
      <c r="C30" s="924"/>
      <c r="D30" s="924"/>
      <c r="E30" s="924"/>
      <c r="F30" s="924"/>
      <c r="G30" s="926"/>
      <c r="H30" s="926"/>
      <c r="I30" s="926"/>
    </row>
    <row r="31" spans="2:38" x14ac:dyDescent="0.25">
      <c r="B31" s="640" t="s">
        <v>978</v>
      </c>
      <c r="C31" s="924"/>
      <c r="D31" s="924"/>
      <c r="E31" s="924"/>
      <c r="F31" s="924"/>
      <c r="G31" s="924"/>
      <c r="H31" s="924"/>
      <c r="I31" s="924"/>
    </row>
    <row r="32" spans="2:38" x14ac:dyDescent="0.25">
      <c r="B32" s="647" t="s">
        <v>1011</v>
      </c>
      <c r="C32" s="1044">
        <f>C29*$C$5</f>
        <v>0</v>
      </c>
      <c r="D32" s="1044">
        <f t="shared" ref="D32:I32" si="5">D29*$C$5</f>
        <v>0</v>
      </c>
      <c r="E32" s="1044">
        <f t="shared" si="5"/>
        <v>0</v>
      </c>
      <c r="F32" s="1044">
        <f t="shared" si="5"/>
        <v>0</v>
      </c>
      <c r="G32" s="1044">
        <f t="shared" si="5"/>
        <v>70580.429999999993</v>
      </c>
      <c r="H32" s="1044">
        <f t="shared" si="5"/>
        <v>211741.29</v>
      </c>
      <c r="I32" s="1044">
        <f t="shared" si="5"/>
        <v>264676.61250000005</v>
      </c>
    </row>
    <row r="33" spans="2:11" x14ac:dyDescent="0.25">
      <c r="B33" s="647" t="s">
        <v>849</v>
      </c>
      <c r="C33" s="1044">
        <f>C29*$C$6</f>
        <v>0</v>
      </c>
      <c r="D33" s="1044">
        <f t="shared" ref="D33:I33" si="6">D29*$C$6</f>
        <v>0</v>
      </c>
      <c r="E33" s="1044">
        <f t="shared" si="6"/>
        <v>0</v>
      </c>
      <c r="F33" s="1044">
        <f t="shared" si="6"/>
        <v>0</v>
      </c>
      <c r="G33" s="1044">
        <f t="shared" si="6"/>
        <v>30912.085227272728</v>
      </c>
      <c r="H33" s="1044">
        <f t="shared" si="6"/>
        <v>92736.255681818191</v>
      </c>
      <c r="I33" s="1044">
        <f t="shared" si="6"/>
        <v>115920.31960227275</v>
      </c>
    </row>
    <row r="34" spans="2:11" x14ac:dyDescent="0.25">
      <c r="B34" s="647" t="s">
        <v>1012</v>
      </c>
      <c r="C34" s="1044">
        <f>C29*$C$7</f>
        <v>0</v>
      </c>
      <c r="D34" s="1044">
        <f t="shared" ref="D34:I34" si="7">D29*$C$7</f>
        <v>0</v>
      </c>
      <c r="E34" s="1044">
        <f t="shared" si="7"/>
        <v>0</v>
      </c>
      <c r="F34" s="1044">
        <f t="shared" si="7"/>
        <v>0</v>
      </c>
      <c r="G34" s="1044">
        <f t="shared" si="7"/>
        <v>134.68392957126974</v>
      </c>
      <c r="H34" s="1044">
        <f t="shared" si="7"/>
        <v>404.05178871380923</v>
      </c>
      <c r="I34" s="1044">
        <f t="shared" si="7"/>
        <v>505.06473589226158</v>
      </c>
    </row>
    <row r="35" spans="2:11" x14ac:dyDescent="0.25">
      <c r="B35" s="1013"/>
      <c r="C35" s="1067">
        <f t="shared" ref="C35:I35" si="8">SUM(C32:C34)</f>
        <v>0</v>
      </c>
      <c r="D35" s="1067">
        <f t="shared" si="8"/>
        <v>0</v>
      </c>
      <c r="E35" s="1067">
        <f t="shared" si="8"/>
        <v>0</v>
      </c>
      <c r="F35" s="1067">
        <f t="shared" si="8"/>
        <v>0</v>
      </c>
      <c r="G35" s="1067">
        <f t="shared" si="8"/>
        <v>101627.199156844</v>
      </c>
      <c r="H35" s="1068">
        <f t="shared" si="8"/>
        <v>304881.597470532</v>
      </c>
      <c r="I35" s="1067">
        <f t="shared" si="8"/>
        <v>381101.9968381651</v>
      </c>
    </row>
    <row r="36" spans="2:11" x14ac:dyDescent="0.25">
      <c r="B36" s="1013"/>
      <c r="C36" s="1016"/>
      <c r="D36" s="1016"/>
      <c r="E36" s="1016"/>
      <c r="F36" s="1016"/>
      <c r="G36" s="1016"/>
      <c r="H36" s="1017"/>
      <c r="I36" s="1016"/>
    </row>
    <row r="37" spans="2:11" x14ac:dyDescent="0.25">
      <c r="B37" s="640" t="s">
        <v>993</v>
      </c>
    </row>
    <row r="39" spans="2:11" x14ac:dyDescent="0.25">
      <c r="B39" s="1235" t="s">
        <v>1014</v>
      </c>
      <c r="C39" s="1235"/>
      <c r="D39" s="1235"/>
      <c r="E39" s="1235"/>
      <c r="F39" s="1235"/>
      <c r="G39" s="1235"/>
      <c r="H39" s="1235"/>
      <c r="I39" s="1235"/>
      <c r="J39" s="1235"/>
      <c r="K39" s="1235"/>
    </row>
    <row r="40" spans="2:11" x14ac:dyDescent="0.25">
      <c r="B40" s="1236" t="s">
        <v>984</v>
      </c>
      <c r="C40" s="1237" t="s">
        <v>985</v>
      </c>
      <c r="D40" s="1237" t="s">
        <v>980</v>
      </c>
      <c r="E40" s="1238" t="s">
        <v>989</v>
      </c>
      <c r="F40" s="1238"/>
      <c r="G40" s="1239" t="s">
        <v>991</v>
      </c>
      <c r="H40" s="1239"/>
      <c r="I40" s="1240" t="s">
        <v>987</v>
      </c>
      <c r="J40" s="1239" t="s">
        <v>988</v>
      </c>
      <c r="K40" s="1239"/>
    </row>
    <row r="41" spans="2:11" x14ac:dyDescent="0.25">
      <c r="B41" s="1236"/>
      <c r="C41" s="1237"/>
      <c r="D41" s="1237"/>
      <c r="E41" s="1028" t="s">
        <v>605</v>
      </c>
      <c r="F41" s="1028" t="s">
        <v>990</v>
      </c>
      <c r="G41" s="1028" t="s">
        <v>605</v>
      </c>
      <c r="H41" s="1028" t="s">
        <v>990</v>
      </c>
      <c r="I41" s="1240"/>
      <c r="J41" s="1028" t="s">
        <v>605</v>
      </c>
      <c r="K41" s="1028" t="s">
        <v>990</v>
      </c>
    </row>
    <row r="42" spans="2:11" x14ac:dyDescent="0.25">
      <c r="B42" s="1027" t="s">
        <v>981</v>
      </c>
      <c r="C42" s="1027"/>
      <c r="D42" s="1021">
        <f>1/1000000</f>
        <v>9.9999999999999995E-7</v>
      </c>
      <c r="E42" s="1044">
        <f>E43</f>
        <v>264676.61250000005</v>
      </c>
      <c r="F42" s="1044">
        <f>F43</f>
        <v>441127.68750000006</v>
      </c>
      <c r="G42" s="1025"/>
      <c r="H42" s="1025"/>
      <c r="I42" s="1024"/>
      <c r="J42" s="1025"/>
      <c r="K42" s="1025"/>
    </row>
    <row r="43" spans="2:11" x14ac:dyDescent="0.25">
      <c r="B43" s="1030">
        <f>1/D43</f>
        <v>500</v>
      </c>
      <c r="C43" s="1029">
        <f>$I$13</f>
        <v>29200</v>
      </c>
      <c r="D43" s="1021">
        <f>INDEX($C$14:$I$14,MATCH(C43,$C$13:$I$13,0))</f>
        <v>2E-3</v>
      </c>
      <c r="E43" s="1044">
        <f>INDEX($C$32:$I$32,MATCH(C43,$C$27:$I$27,0))</f>
        <v>264676.61250000005</v>
      </c>
      <c r="F43" s="1044">
        <f>INDEX($C$18:$I$18,MATCH(C43,$C$13:$I$13,0))</f>
        <v>441127.68750000006</v>
      </c>
      <c r="G43" s="1025">
        <f>E43</f>
        <v>264676.61250000005</v>
      </c>
      <c r="H43" s="1025">
        <f>F43</f>
        <v>441127.68750000006</v>
      </c>
      <c r="I43" s="1026">
        <f>D43-D42</f>
        <v>1.9989999999999999E-3</v>
      </c>
      <c r="J43" s="1044">
        <f>G43*I43</f>
        <v>529.08854838750005</v>
      </c>
      <c r="K43" s="1044">
        <f>H43*I43</f>
        <v>881.81424731250013</v>
      </c>
    </row>
    <row r="44" spans="2:11" x14ac:dyDescent="0.25">
      <c r="B44" s="1085">
        <f t="shared" ref="B44:B49" si="9">1/D44</f>
        <v>384.61538461538464</v>
      </c>
      <c r="C44" s="1029">
        <f>$H$13</f>
        <v>26900</v>
      </c>
      <c r="D44" s="1021">
        <f t="shared" ref="D44:D49" si="10">INDEX($C$14:$I$14,MATCH(C44,$C$13:$I$13,0))</f>
        <v>2.5999999999999999E-3</v>
      </c>
      <c r="E44" s="1044">
        <f>INDEX($C$32:$I$32,MATCH(C44,$C$27:$I$27,0))</f>
        <v>211741.29</v>
      </c>
      <c r="F44" s="1044">
        <f t="shared" ref="F44:F49" si="11">INDEX($C$18:$I$18,MATCH(C44,$C$13:$I$13,0))</f>
        <v>388192.36500000005</v>
      </c>
      <c r="G44" s="1025">
        <f>AVERAGE(E43:E44)</f>
        <v>238208.95125000004</v>
      </c>
      <c r="H44" s="1025">
        <f>AVERAGE(F43:F44)</f>
        <v>414660.02625000005</v>
      </c>
      <c r="I44" s="1026">
        <f>D44-D43</f>
        <v>5.9999999999999984E-4</v>
      </c>
      <c r="J44" s="1044">
        <f>G44*I44</f>
        <v>142.92537074999998</v>
      </c>
      <c r="K44" s="1044">
        <f>H44*I44</f>
        <v>248.79601574999995</v>
      </c>
    </row>
    <row r="45" spans="2:11" x14ac:dyDescent="0.25">
      <c r="B45" s="1030">
        <f t="shared" si="9"/>
        <v>200</v>
      </c>
      <c r="C45" s="1029">
        <f>$G$13</f>
        <v>20900</v>
      </c>
      <c r="D45" s="1021">
        <f t="shared" si="10"/>
        <v>5.0000000000000001E-3</v>
      </c>
      <c r="E45" s="1044">
        <f>INDEX($C$32:$I$32,MATCH(C45,$C$27:$I$27,0))</f>
        <v>70580.429999999993</v>
      </c>
      <c r="F45" s="1044">
        <f t="shared" si="11"/>
        <v>247031.505</v>
      </c>
      <c r="G45" s="1025">
        <f>AVERAGE(E44:E45)</f>
        <v>141160.85999999999</v>
      </c>
      <c r="H45" s="1025">
        <f>AVERAGE(F44:F45)</f>
        <v>317611.93500000006</v>
      </c>
      <c r="I45" s="1026">
        <f>D45-D44</f>
        <v>2.4000000000000002E-3</v>
      </c>
      <c r="J45" s="1044">
        <f t="shared" ref="J45:J49" si="12">G45*I45</f>
        <v>338.78606400000001</v>
      </c>
      <c r="K45" s="1044">
        <f>H45*I45</f>
        <v>762.26864400000022</v>
      </c>
    </row>
    <row r="46" spans="2:11" x14ac:dyDescent="0.25">
      <c r="B46" s="1085">
        <f t="shared" si="9"/>
        <v>135.13513513513513</v>
      </c>
      <c r="C46" s="1029">
        <f>$F$13</f>
        <v>17300</v>
      </c>
      <c r="D46" s="1021">
        <f t="shared" si="10"/>
        <v>7.4000000000000003E-3</v>
      </c>
      <c r="E46" s="1044">
        <f t="shared" ref="E46:E49" si="13">INDEX($C$32:$I$32,MATCH(C46,$C$27:$I$27,0))</f>
        <v>0</v>
      </c>
      <c r="F46" s="1044">
        <f t="shared" si="11"/>
        <v>176451.07500000001</v>
      </c>
      <c r="G46" s="1025">
        <f>AVERAGE(E45:E46)</f>
        <v>35290.214999999997</v>
      </c>
      <c r="H46" s="1025">
        <f t="shared" ref="H46:H49" si="14">AVERAGE(F45:F46)</f>
        <v>211741.29</v>
      </c>
      <c r="I46" s="1026">
        <f t="shared" ref="I46:I49" si="15">D46-D45</f>
        <v>2.4000000000000002E-3</v>
      </c>
      <c r="J46" s="1044">
        <f t="shared" si="12"/>
        <v>84.696516000000003</v>
      </c>
      <c r="K46" s="1044">
        <f t="shared" ref="K46:K49" si="16">H46*I46</f>
        <v>508.17909600000007</v>
      </c>
    </row>
    <row r="47" spans="2:11" x14ac:dyDescent="0.25">
      <c r="B47" s="1030">
        <f t="shared" si="9"/>
        <v>100</v>
      </c>
      <c r="C47" s="1029">
        <f>$E$13</f>
        <v>15650</v>
      </c>
      <c r="D47" s="1021">
        <f t="shared" si="10"/>
        <v>0.01</v>
      </c>
      <c r="E47" s="1044">
        <f t="shared" si="13"/>
        <v>0</v>
      </c>
      <c r="F47" s="1044">
        <f t="shared" si="11"/>
        <v>123515.7525</v>
      </c>
      <c r="G47" s="1025">
        <f>AVERAGE(E46:E47)</f>
        <v>0</v>
      </c>
      <c r="H47" s="1025">
        <f>AVERAGE(F46:F47)</f>
        <v>149983.41375000001</v>
      </c>
      <c r="I47" s="1026">
        <f t="shared" si="15"/>
        <v>2.5999999999999999E-3</v>
      </c>
      <c r="J47" s="1044">
        <f t="shared" si="12"/>
        <v>0</v>
      </c>
      <c r="K47" s="1044">
        <f t="shared" si="16"/>
        <v>389.95687574999999</v>
      </c>
    </row>
    <row r="48" spans="2:11" x14ac:dyDescent="0.25">
      <c r="B48" s="1030">
        <f t="shared" si="9"/>
        <v>50</v>
      </c>
      <c r="C48" s="1029">
        <f>$D$13</f>
        <v>11150</v>
      </c>
      <c r="D48" s="1021">
        <f t="shared" si="10"/>
        <v>0.02</v>
      </c>
      <c r="E48" s="1044">
        <f t="shared" si="13"/>
        <v>0</v>
      </c>
      <c r="F48" s="1044">
        <f t="shared" si="11"/>
        <v>17645.107500000002</v>
      </c>
      <c r="G48" s="1025">
        <f>AVERAGE(E47:E48)</f>
        <v>0</v>
      </c>
      <c r="H48" s="1025">
        <f t="shared" si="14"/>
        <v>70580.430000000008</v>
      </c>
      <c r="I48" s="1026">
        <f t="shared" si="15"/>
        <v>0.01</v>
      </c>
      <c r="J48" s="1044">
        <f t="shared" si="12"/>
        <v>0</v>
      </c>
      <c r="K48" s="1044">
        <f t="shared" si="16"/>
        <v>705.80430000000013</v>
      </c>
    </row>
    <row r="49" spans="2:11" x14ac:dyDescent="0.25">
      <c r="B49" s="1085">
        <f t="shared" si="9"/>
        <v>36.764705882352942</v>
      </c>
      <c r="C49" s="1029">
        <f>$C$13</f>
        <v>10000</v>
      </c>
      <c r="D49" s="1021">
        <f t="shared" si="10"/>
        <v>2.7199999999999998E-2</v>
      </c>
      <c r="E49" s="1044">
        <f t="shared" si="13"/>
        <v>0</v>
      </c>
      <c r="F49" s="1044">
        <f t="shared" si="11"/>
        <v>0</v>
      </c>
      <c r="G49" s="1025">
        <f>AVERAGE(E48:E49)</f>
        <v>0</v>
      </c>
      <c r="H49" s="1025">
        <f t="shared" si="14"/>
        <v>8822.5537500000009</v>
      </c>
      <c r="I49" s="1026">
        <f t="shared" si="15"/>
        <v>7.1999999999999981E-3</v>
      </c>
      <c r="J49" s="1044">
        <f t="shared" si="12"/>
        <v>0</v>
      </c>
      <c r="K49" s="1044">
        <f t="shared" si="16"/>
        <v>63.522386999999988</v>
      </c>
    </row>
    <row r="50" spans="2:11" x14ac:dyDescent="0.25">
      <c r="B50" s="660"/>
      <c r="C50" s="660"/>
      <c r="D50" s="660"/>
      <c r="E50" s="660"/>
      <c r="F50" s="660"/>
      <c r="G50" s="1022"/>
      <c r="H50" s="1022"/>
      <c r="I50" s="1032" t="s">
        <v>992</v>
      </c>
      <c r="J50" s="1069">
        <f>SUM(J43:J49)</f>
        <v>1095.4964991375</v>
      </c>
      <c r="K50" s="1069">
        <f>SUM(K43:K49)</f>
        <v>3560.3415658125009</v>
      </c>
    </row>
    <row r="51" spans="2:11" x14ac:dyDescent="0.25">
      <c r="B51" s="661"/>
      <c r="C51" s="661"/>
      <c r="D51" s="1020"/>
      <c r="E51" s="1023"/>
      <c r="F51" s="1023"/>
      <c r="G51" s="660"/>
      <c r="H51" s="660"/>
      <c r="I51" s="1033" t="s">
        <v>982</v>
      </c>
      <c r="J51" s="1070">
        <f>K50-J50</f>
        <v>2464.8450666750009</v>
      </c>
      <c r="K51" s="1071"/>
    </row>
    <row r="52" spans="2:11" x14ac:dyDescent="0.25">
      <c r="B52" s="660"/>
      <c r="C52" s="660"/>
      <c r="D52" s="660"/>
      <c r="E52" s="660"/>
      <c r="F52" s="660"/>
      <c r="G52" s="1022"/>
      <c r="H52" s="1022"/>
      <c r="I52" s="1"/>
      <c r="J52" s="1"/>
      <c r="K52" s="1"/>
    </row>
    <row r="53" spans="2:11" x14ac:dyDescent="0.25">
      <c r="B53" s="1235" t="s">
        <v>1015</v>
      </c>
      <c r="C53" s="1235"/>
      <c r="D53" s="1235"/>
      <c r="E53" s="1235"/>
      <c r="F53" s="1235"/>
      <c r="G53" s="1235"/>
      <c r="H53" s="1235"/>
      <c r="I53" s="1235"/>
      <c r="J53" s="1235"/>
      <c r="K53" s="1235"/>
    </row>
    <row r="54" spans="2:11" x14ac:dyDescent="0.25">
      <c r="B54" s="1236" t="s">
        <v>984</v>
      </c>
      <c r="C54" s="1237" t="s">
        <v>985</v>
      </c>
      <c r="D54" s="1237" t="s">
        <v>980</v>
      </c>
      <c r="E54" s="1238" t="s">
        <v>989</v>
      </c>
      <c r="F54" s="1238"/>
      <c r="G54" s="1239" t="s">
        <v>991</v>
      </c>
      <c r="H54" s="1239"/>
      <c r="I54" s="1240" t="s">
        <v>987</v>
      </c>
      <c r="J54" s="1239" t="s">
        <v>988</v>
      </c>
      <c r="K54" s="1239"/>
    </row>
    <row r="55" spans="2:11" x14ac:dyDescent="0.25">
      <c r="B55" s="1236"/>
      <c r="C55" s="1237"/>
      <c r="D55" s="1237"/>
      <c r="E55" s="1028" t="s">
        <v>605</v>
      </c>
      <c r="F55" s="1028" t="s">
        <v>990</v>
      </c>
      <c r="G55" s="1028" t="s">
        <v>605</v>
      </c>
      <c r="H55" s="1028" t="s">
        <v>990</v>
      </c>
      <c r="I55" s="1240"/>
      <c r="J55" s="1028" t="s">
        <v>605</v>
      </c>
      <c r="K55" s="1028" t="s">
        <v>990</v>
      </c>
    </row>
    <row r="56" spans="2:11" x14ac:dyDescent="0.25">
      <c r="B56" s="1027" t="s">
        <v>981</v>
      </c>
      <c r="C56" s="1027"/>
      <c r="D56" s="1021">
        <f>1/1000000</f>
        <v>9.9999999999999995E-7</v>
      </c>
      <c r="E56" s="1044">
        <f>E57</f>
        <v>115920.31960227275</v>
      </c>
      <c r="F56" s="1044">
        <f>F57</f>
        <v>193200.53267045459</v>
      </c>
      <c r="G56" s="1025"/>
      <c r="H56" s="1025"/>
      <c r="I56" s="1024"/>
      <c r="J56" s="1025"/>
      <c r="K56" s="1025"/>
    </row>
    <row r="57" spans="2:11" x14ac:dyDescent="0.25">
      <c r="B57" s="1030">
        <f>1/D57</f>
        <v>500</v>
      </c>
      <c r="C57" s="1029">
        <f>$I$13</f>
        <v>29200</v>
      </c>
      <c r="D57" s="1021">
        <f>INDEX($C$14:$I$14,MATCH(C57,$C$13:$I$13,0))</f>
        <v>2E-3</v>
      </c>
      <c r="E57" s="1044">
        <f>INDEX($C$33:$I$33,MATCH(C57,$C$27:$I$27,0))</f>
        <v>115920.31960227275</v>
      </c>
      <c r="F57" s="1044">
        <f t="shared" ref="F57:F63" si="17">INDEX($C$19:$I$19,MATCH(C57,$C$13:$I$13,0))</f>
        <v>193200.53267045459</v>
      </c>
      <c r="G57" s="1025">
        <f>E57</f>
        <v>115920.31960227275</v>
      </c>
      <c r="H57" s="1025">
        <f>F57</f>
        <v>193200.53267045459</v>
      </c>
      <c r="I57" s="1026">
        <f>D57-D56</f>
        <v>1.9989999999999999E-3</v>
      </c>
      <c r="J57" s="1044">
        <f>G57*I57</f>
        <v>231.72471888494323</v>
      </c>
      <c r="K57" s="1044">
        <f>H57*I57</f>
        <v>386.2078648082387</v>
      </c>
    </row>
    <row r="58" spans="2:11" x14ac:dyDescent="0.25">
      <c r="B58" s="1085">
        <f t="shared" ref="B58:B63" si="18">1/D58</f>
        <v>384.61538461538464</v>
      </c>
      <c r="C58" s="1029">
        <f>$H$13</f>
        <v>26900</v>
      </c>
      <c r="D58" s="1021">
        <f t="shared" ref="D58:D63" si="19">INDEX($C$14:$I$14,MATCH(C58,$C$13:$I$13,0))</f>
        <v>2.5999999999999999E-3</v>
      </c>
      <c r="E58" s="1044">
        <f t="shared" ref="E58:E63" si="20">INDEX($C$33:$I$33,MATCH(C58,$C$27:$I$27,0))</f>
        <v>92736.255681818191</v>
      </c>
      <c r="F58" s="1044">
        <f>INDEX($C$19:$I$19,MATCH(C58,$C$13:$I$13,0))</f>
        <v>170016.46875000003</v>
      </c>
      <c r="G58" s="1025">
        <f>AVERAGE(E57:E58)</f>
        <v>104328.28764204547</v>
      </c>
      <c r="H58" s="1025">
        <f>AVERAGE(F57:F58)</f>
        <v>181608.50071022729</v>
      </c>
      <c r="I58" s="1026">
        <f>D58-D57</f>
        <v>5.9999999999999984E-4</v>
      </c>
      <c r="J58" s="1044">
        <f t="shared" ref="J58:J63" si="21">G58*I58</f>
        <v>62.596972585227263</v>
      </c>
      <c r="K58" s="1044">
        <f t="shared" ref="K58:K63" si="22">H58*I58</f>
        <v>108.96510042613635</v>
      </c>
    </row>
    <row r="59" spans="2:11" x14ac:dyDescent="0.25">
      <c r="B59" s="1030">
        <f t="shared" si="18"/>
        <v>200</v>
      </c>
      <c r="C59" s="1029">
        <f>$G$13</f>
        <v>20900</v>
      </c>
      <c r="D59" s="1021">
        <f t="shared" si="19"/>
        <v>5.0000000000000001E-3</v>
      </c>
      <c r="E59" s="1044">
        <f t="shared" si="20"/>
        <v>30912.085227272728</v>
      </c>
      <c r="F59" s="1044">
        <f t="shared" si="17"/>
        <v>108192.29829545456</v>
      </c>
      <c r="G59" s="1025">
        <f>AVERAGE(E58:E59)</f>
        <v>61824.170454545456</v>
      </c>
      <c r="H59" s="1025">
        <f>AVERAGE(F58:F59)</f>
        <v>139104.38352272729</v>
      </c>
      <c r="I59" s="1026">
        <f>D59-D58</f>
        <v>2.4000000000000002E-3</v>
      </c>
      <c r="J59" s="1044">
        <f t="shared" si="21"/>
        <v>148.3780090909091</v>
      </c>
      <c r="K59" s="1044">
        <f t="shared" si="22"/>
        <v>333.85052045454552</v>
      </c>
    </row>
    <row r="60" spans="2:11" x14ac:dyDescent="0.25">
      <c r="B60" s="1085">
        <f t="shared" si="18"/>
        <v>135.13513513513513</v>
      </c>
      <c r="C60" s="1029">
        <f>$F$13</f>
        <v>17300</v>
      </c>
      <c r="D60" s="1021">
        <f t="shared" si="19"/>
        <v>7.4000000000000003E-3</v>
      </c>
      <c r="E60" s="1044">
        <f t="shared" si="20"/>
        <v>0</v>
      </c>
      <c r="F60" s="1044">
        <f t="shared" si="17"/>
        <v>77280.213068181823</v>
      </c>
      <c r="G60" s="1025">
        <f>AVERAGE(E59:E60)</f>
        <v>15456.042613636364</v>
      </c>
      <c r="H60" s="1025">
        <f t="shared" ref="H60" si="23">AVERAGE(F59:F60)</f>
        <v>92736.255681818191</v>
      </c>
      <c r="I60" s="1026">
        <f t="shared" ref="I60:I63" si="24">D60-D59</f>
        <v>2.4000000000000002E-3</v>
      </c>
      <c r="J60" s="1044">
        <f t="shared" si="21"/>
        <v>37.094502272727276</v>
      </c>
      <c r="K60" s="1044">
        <f t="shared" si="22"/>
        <v>222.56701363636367</v>
      </c>
    </row>
    <row r="61" spans="2:11" x14ac:dyDescent="0.25">
      <c r="B61" s="1030">
        <f t="shared" si="18"/>
        <v>100</v>
      </c>
      <c r="C61" s="1029">
        <f>$E$13</f>
        <v>15650</v>
      </c>
      <c r="D61" s="1021">
        <f t="shared" si="19"/>
        <v>0.01</v>
      </c>
      <c r="E61" s="1044">
        <f t="shared" si="20"/>
        <v>0</v>
      </c>
      <c r="F61" s="1044">
        <f t="shared" si="17"/>
        <v>54096.149147727279</v>
      </c>
      <c r="G61" s="1025">
        <f>AVERAGE(E60:E61)</f>
        <v>0</v>
      </c>
      <c r="H61" s="1025">
        <f>AVERAGE(F60:F61)</f>
        <v>65688.181107954559</v>
      </c>
      <c r="I61" s="1026">
        <f t="shared" si="24"/>
        <v>2.5999999999999999E-3</v>
      </c>
      <c r="J61" s="1044">
        <f t="shared" si="21"/>
        <v>0</v>
      </c>
      <c r="K61" s="1044">
        <f t="shared" si="22"/>
        <v>170.78927088068184</v>
      </c>
    </row>
    <row r="62" spans="2:11" x14ac:dyDescent="0.25">
      <c r="B62" s="1030">
        <f t="shared" si="18"/>
        <v>50</v>
      </c>
      <c r="C62" s="1029">
        <f>$D$13</f>
        <v>11150</v>
      </c>
      <c r="D62" s="1021">
        <f t="shared" si="19"/>
        <v>0.02</v>
      </c>
      <c r="E62" s="1044">
        <f t="shared" si="20"/>
        <v>0</v>
      </c>
      <c r="F62" s="1044">
        <f t="shared" si="17"/>
        <v>7728.0213068181838</v>
      </c>
      <c r="G62" s="1025">
        <f>AVERAGE(E61:E62)</f>
        <v>0</v>
      </c>
      <c r="H62" s="1025">
        <f t="shared" ref="H62:H63" si="25">AVERAGE(F61:F62)</f>
        <v>30912.085227272732</v>
      </c>
      <c r="I62" s="1026">
        <f t="shared" si="24"/>
        <v>0.01</v>
      </c>
      <c r="J62" s="1044">
        <f t="shared" si="21"/>
        <v>0</v>
      </c>
      <c r="K62" s="1044">
        <f t="shared" si="22"/>
        <v>309.12085227272735</v>
      </c>
    </row>
    <row r="63" spans="2:11" x14ac:dyDescent="0.25">
      <c r="B63" s="1085">
        <f t="shared" si="18"/>
        <v>36.764705882352942</v>
      </c>
      <c r="C63" s="1029">
        <f>$C$13</f>
        <v>10000</v>
      </c>
      <c r="D63" s="1021">
        <f t="shared" si="19"/>
        <v>2.7199999999999998E-2</v>
      </c>
      <c r="E63" s="1044">
        <f t="shared" si="20"/>
        <v>0</v>
      </c>
      <c r="F63" s="1044">
        <f t="shared" si="17"/>
        <v>0</v>
      </c>
      <c r="G63" s="1025">
        <f>AVERAGE(E62:E63)</f>
        <v>0</v>
      </c>
      <c r="H63" s="1025">
        <f t="shared" si="25"/>
        <v>3864.0106534090919</v>
      </c>
      <c r="I63" s="1026">
        <f t="shared" si="24"/>
        <v>7.1999999999999981E-3</v>
      </c>
      <c r="J63" s="1044">
        <f t="shared" si="21"/>
        <v>0</v>
      </c>
      <c r="K63" s="1044">
        <f t="shared" si="22"/>
        <v>27.820876704545455</v>
      </c>
    </row>
    <row r="64" spans="2:11" x14ac:dyDescent="0.25">
      <c r="B64" s="660"/>
      <c r="C64" s="660"/>
      <c r="D64" s="660"/>
      <c r="E64" s="660"/>
      <c r="F64" s="660"/>
      <c r="G64" s="1022"/>
      <c r="H64" s="1022"/>
      <c r="I64" s="1032" t="s">
        <v>992</v>
      </c>
      <c r="J64" s="1069">
        <f>SUM(J57:J63)</f>
        <v>479.79420283380682</v>
      </c>
      <c r="K64" s="1069">
        <f>SUM(K57:K63)</f>
        <v>1559.321499183239</v>
      </c>
    </row>
    <row r="65" spans="2:11" x14ac:dyDescent="0.25">
      <c r="B65" s="661"/>
      <c r="C65" s="661"/>
      <c r="D65" s="1020"/>
      <c r="E65" s="1023"/>
      <c r="F65" s="1023"/>
      <c r="G65" s="660"/>
      <c r="H65" s="660"/>
      <c r="I65" s="1033" t="s">
        <v>982</v>
      </c>
      <c r="J65" s="1070">
        <f>K64-J64</f>
        <v>1079.5272963494322</v>
      </c>
      <c r="K65" s="1071"/>
    </row>
    <row r="67" spans="2:11" x14ac:dyDescent="0.25">
      <c r="B67" s="1235" t="s">
        <v>1016</v>
      </c>
      <c r="C67" s="1235"/>
      <c r="D67" s="1235"/>
      <c r="E67" s="1235"/>
      <c r="F67" s="1235"/>
      <c r="G67" s="1235"/>
      <c r="H67" s="1235"/>
      <c r="I67" s="1235"/>
      <c r="J67" s="1235"/>
      <c r="K67" s="1235"/>
    </row>
    <row r="68" spans="2:11" x14ac:dyDescent="0.25">
      <c r="B68" s="1236" t="s">
        <v>984</v>
      </c>
      <c r="C68" s="1237" t="s">
        <v>985</v>
      </c>
      <c r="D68" s="1237" t="s">
        <v>980</v>
      </c>
      <c r="E68" s="1238" t="s">
        <v>989</v>
      </c>
      <c r="F68" s="1238"/>
      <c r="G68" s="1239" t="s">
        <v>991</v>
      </c>
      <c r="H68" s="1239"/>
      <c r="I68" s="1240" t="s">
        <v>987</v>
      </c>
      <c r="J68" s="1239" t="s">
        <v>988</v>
      </c>
      <c r="K68" s="1239"/>
    </row>
    <row r="69" spans="2:11" x14ac:dyDescent="0.25">
      <c r="B69" s="1236"/>
      <c r="C69" s="1237"/>
      <c r="D69" s="1237"/>
      <c r="E69" s="1028" t="s">
        <v>605</v>
      </c>
      <c r="F69" s="1028" t="s">
        <v>990</v>
      </c>
      <c r="G69" s="1028" t="s">
        <v>605</v>
      </c>
      <c r="H69" s="1028" t="s">
        <v>990</v>
      </c>
      <c r="I69" s="1240"/>
      <c r="J69" s="1028" t="s">
        <v>605</v>
      </c>
      <c r="K69" s="1028" t="s">
        <v>990</v>
      </c>
    </row>
    <row r="70" spans="2:11" x14ac:dyDescent="0.25">
      <c r="B70" s="1027" t="s">
        <v>981</v>
      </c>
      <c r="C70" s="1027"/>
      <c r="D70" s="1021">
        <f>1/1000000</f>
        <v>9.9999999999999995E-7</v>
      </c>
      <c r="E70" s="1044">
        <f>E71</f>
        <v>505.06473589226158</v>
      </c>
      <c r="F70" s="1044">
        <f>F71</f>
        <v>841.77455982043591</v>
      </c>
      <c r="G70" s="1025"/>
      <c r="H70" s="1025"/>
      <c r="I70" s="1024"/>
      <c r="J70" s="1044"/>
      <c r="K70" s="1044"/>
    </row>
    <row r="71" spans="2:11" x14ac:dyDescent="0.25">
      <c r="B71" s="1030">
        <f>1/D71</f>
        <v>500</v>
      </c>
      <c r="C71" s="1029">
        <f>$I$13</f>
        <v>29200</v>
      </c>
      <c r="D71" s="1021">
        <f>INDEX($C$14:$I$14,MATCH(C71,$C$13:$I$13,0))</f>
        <v>2E-3</v>
      </c>
      <c r="E71" s="1044">
        <f t="shared" ref="E71:E77" si="26">INDEX($C$34:$I$34,MATCH(C71,$C$27:$I$27,0))</f>
        <v>505.06473589226158</v>
      </c>
      <c r="F71" s="1044">
        <f t="shared" ref="F71:F77" si="27">INDEX($C$20:$I$20,MATCH(C71,$C$13:$I$13,0))</f>
        <v>841.77455982043591</v>
      </c>
      <c r="G71" s="1025">
        <f>E71</f>
        <v>505.06473589226158</v>
      </c>
      <c r="H71" s="1025">
        <f>F71</f>
        <v>841.77455982043591</v>
      </c>
      <c r="I71" s="1026">
        <f>D71-D70</f>
        <v>1.9989999999999999E-3</v>
      </c>
      <c r="J71" s="1044">
        <f>G71*I71</f>
        <v>1.0096244070486309</v>
      </c>
      <c r="K71" s="1044">
        <f>H71*I71</f>
        <v>1.6827073450810512</v>
      </c>
    </row>
    <row r="72" spans="2:11" x14ac:dyDescent="0.25">
      <c r="B72" s="1085">
        <f t="shared" ref="B72:B77" si="28">1/D72</f>
        <v>384.61538461538464</v>
      </c>
      <c r="C72" s="1029">
        <f>$H$13</f>
        <v>26900</v>
      </c>
      <c r="D72" s="1021">
        <f t="shared" ref="D72:D77" si="29">INDEX($C$14:$I$14,MATCH(C72,$C$13:$I$13,0))</f>
        <v>2.5999999999999999E-3</v>
      </c>
      <c r="E72" s="1044">
        <f>INDEX($C$34:$I$34,MATCH(C72,$C$27:$I$27,0))</f>
        <v>404.05178871380923</v>
      </c>
      <c r="F72" s="1044">
        <f>INDEX($C$20:$I$20,MATCH(C72,$C$13:$I$13,0))</f>
        <v>740.76161264198356</v>
      </c>
      <c r="G72" s="1025">
        <f>AVERAGE(E71:E72)</f>
        <v>454.55826230303541</v>
      </c>
      <c r="H72" s="1025">
        <f>AVERAGE(F71:F72)</f>
        <v>791.26808623120974</v>
      </c>
      <c r="I72" s="1026">
        <f>D72-D71</f>
        <v>5.9999999999999984E-4</v>
      </c>
      <c r="J72" s="1044">
        <f t="shared" ref="J72:J77" si="30">G72*I72</f>
        <v>0.27273495738182119</v>
      </c>
      <c r="K72" s="1044">
        <f t="shared" ref="K72:K77" si="31">H72*I72</f>
        <v>0.47476085173872573</v>
      </c>
    </row>
    <row r="73" spans="2:11" x14ac:dyDescent="0.25">
      <c r="B73" s="1030">
        <f t="shared" si="28"/>
        <v>200</v>
      </c>
      <c r="C73" s="1029">
        <f>$G$13</f>
        <v>20900</v>
      </c>
      <c r="D73" s="1021">
        <f t="shared" si="29"/>
        <v>5.0000000000000001E-3</v>
      </c>
      <c r="E73" s="1044">
        <f t="shared" si="26"/>
        <v>134.68392957126974</v>
      </c>
      <c r="F73" s="1044">
        <f t="shared" si="27"/>
        <v>471.39375349944407</v>
      </c>
      <c r="G73" s="1025">
        <f>AVERAGE(E72:E73)</f>
        <v>269.36785914253949</v>
      </c>
      <c r="H73" s="1025">
        <f>AVERAGE(F72:F73)</f>
        <v>606.07768307071387</v>
      </c>
      <c r="I73" s="1026">
        <f>D73-D72</f>
        <v>2.4000000000000002E-3</v>
      </c>
      <c r="J73" s="1044">
        <f t="shared" si="30"/>
        <v>0.64648286194209481</v>
      </c>
      <c r="K73" s="1044">
        <f t="shared" si="31"/>
        <v>1.4545864393697134</v>
      </c>
    </row>
    <row r="74" spans="2:11" x14ac:dyDescent="0.25">
      <c r="B74" s="1085">
        <f t="shared" si="28"/>
        <v>135.13513513513513</v>
      </c>
      <c r="C74" s="1029">
        <f>$F$13</f>
        <v>17300</v>
      </c>
      <c r="D74" s="1021">
        <f t="shared" si="29"/>
        <v>7.4000000000000003E-3</v>
      </c>
      <c r="E74" s="1044">
        <f t="shared" si="26"/>
        <v>0</v>
      </c>
      <c r="F74" s="1044">
        <f t="shared" si="27"/>
        <v>336.70982392817439</v>
      </c>
      <c r="G74" s="1025">
        <f>AVERAGE(E73:E74)</f>
        <v>67.341964785634872</v>
      </c>
      <c r="H74" s="1025">
        <f t="shared" ref="H74" si="32">AVERAGE(F73:F74)</f>
        <v>404.05178871380923</v>
      </c>
      <c r="I74" s="1026">
        <f t="shared" ref="I74:I77" si="33">D74-D73</f>
        <v>2.4000000000000002E-3</v>
      </c>
      <c r="J74" s="1044">
        <f t="shared" si="30"/>
        <v>0.1616207154855237</v>
      </c>
      <c r="K74" s="1044">
        <f t="shared" si="31"/>
        <v>0.96972429291314222</v>
      </c>
    </row>
    <row r="75" spans="2:11" x14ac:dyDescent="0.25">
      <c r="B75" s="1030">
        <f t="shared" si="28"/>
        <v>100</v>
      </c>
      <c r="C75" s="1029">
        <f>$E$13</f>
        <v>15650</v>
      </c>
      <c r="D75" s="1021">
        <f t="shared" si="29"/>
        <v>0.01</v>
      </c>
      <c r="E75" s="1044">
        <f t="shared" si="26"/>
        <v>0</v>
      </c>
      <c r="F75" s="1044">
        <f t="shared" si="27"/>
        <v>235.69687674972204</v>
      </c>
      <c r="G75" s="1025">
        <f>AVERAGE(E74:E75)</f>
        <v>0</v>
      </c>
      <c r="H75" s="1025">
        <f>AVERAGE(F74:F75)</f>
        <v>286.20335033894821</v>
      </c>
      <c r="I75" s="1026">
        <f t="shared" si="33"/>
        <v>2.5999999999999999E-3</v>
      </c>
      <c r="J75" s="1044">
        <f t="shared" si="30"/>
        <v>0</v>
      </c>
      <c r="K75" s="1044">
        <f t="shared" si="31"/>
        <v>0.74412871088126531</v>
      </c>
    </row>
    <row r="76" spans="2:11" x14ac:dyDescent="0.25">
      <c r="B76" s="1030">
        <f t="shared" si="28"/>
        <v>50</v>
      </c>
      <c r="C76" s="1029">
        <f>$D$13</f>
        <v>11150</v>
      </c>
      <c r="D76" s="1021">
        <f t="shared" si="29"/>
        <v>0.02</v>
      </c>
      <c r="E76" s="1044">
        <f t="shared" si="26"/>
        <v>0</v>
      </c>
      <c r="F76" s="1044">
        <f t="shared" si="27"/>
        <v>33.670982392817436</v>
      </c>
      <c r="G76" s="1025">
        <f>AVERAGE(E75:E76)</f>
        <v>0</v>
      </c>
      <c r="H76" s="1025">
        <f t="shared" ref="H76:H77" si="34">AVERAGE(F75:F76)</f>
        <v>134.68392957126974</v>
      </c>
      <c r="I76" s="1026">
        <f t="shared" si="33"/>
        <v>0.01</v>
      </c>
      <c r="J76" s="1044">
        <f t="shared" si="30"/>
        <v>0</v>
      </c>
      <c r="K76" s="1044">
        <f t="shared" si="31"/>
        <v>1.3468392957126976</v>
      </c>
    </row>
    <row r="77" spans="2:11" x14ac:dyDescent="0.25">
      <c r="B77" s="1085">
        <f t="shared" si="28"/>
        <v>36.764705882352942</v>
      </c>
      <c r="C77" s="1029">
        <f>$C$13</f>
        <v>10000</v>
      </c>
      <c r="D77" s="1021">
        <f t="shared" si="29"/>
        <v>2.7199999999999998E-2</v>
      </c>
      <c r="E77" s="1044">
        <f t="shared" si="26"/>
        <v>0</v>
      </c>
      <c r="F77" s="1044">
        <f t="shared" si="27"/>
        <v>0</v>
      </c>
      <c r="G77" s="1025">
        <f>AVERAGE(E76:E77)</f>
        <v>0</v>
      </c>
      <c r="H77" s="1025">
        <f t="shared" si="34"/>
        <v>16.835491196408718</v>
      </c>
      <c r="I77" s="1026">
        <f t="shared" si="33"/>
        <v>7.1999999999999981E-3</v>
      </c>
      <c r="J77" s="1044">
        <f t="shared" si="30"/>
        <v>0</v>
      </c>
      <c r="K77" s="1044">
        <f t="shared" si="31"/>
        <v>0.12121553661414274</v>
      </c>
    </row>
    <row r="78" spans="2:11" x14ac:dyDescent="0.25">
      <c r="B78" s="660"/>
      <c r="C78" s="660"/>
      <c r="D78" s="660"/>
      <c r="E78" s="660"/>
      <c r="F78" s="660"/>
      <c r="G78" s="1022"/>
      <c r="H78" s="1022"/>
      <c r="I78" s="1032" t="s">
        <v>992</v>
      </c>
      <c r="J78" s="1069">
        <f>SUM(J71:J77)</f>
        <v>2.0904629418580707</v>
      </c>
      <c r="K78" s="1069">
        <f>SUM(K71:K77)</f>
        <v>6.7939624723107386</v>
      </c>
    </row>
    <row r="79" spans="2:11" x14ac:dyDescent="0.25">
      <c r="B79" s="661"/>
      <c r="C79" s="661"/>
      <c r="D79" s="1020"/>
      <c r="E79" s="1023"/>
      <c r="F79" s="1023"/>
      <c r="G79" s="660"/>
      <c r="H79" s="660"/>
      <c r="I79" s="1033" t="s">
        <v>982</v>
      </c>
      <c r="J79" s="1070">
        <f>K78-J78</f>
        <v>4.7034995304526674</v>
      </c>
      <c r="K79" s="1071"/>
    </row>
    <row r="80" spans="2:11" x14ac:dyDescent="0.25">
      <c r="B80" t="s">
        <v>67</v>
      </c>
    </row>
    <row r="81" spans="2:2" x14ac:dyDescent="0.25">
      <c r="B81" t="s">
        <v>1004</v>
      </c>
    </row>
    <row r="82" spans="2:2" x14ac:dyDescent="0.25">
      <c r="B82" t="s">
        <v>1005</v>
      </c>
    </row>
  </sheetData>
  <mergeCells count="24">
    <mergeCell ref="B67:K67"/>
    <mergeCell ref="B68:B69"/>
    <mergeCell ref="C68:C69"/>
    <mergeCell ref="D68:D69"/>
    <mergeCell ref="E68:F68"/>
    <mergeCell ref="G68:H68"/>
    <mergeCell ref="I68:I69"/>
    <mergeCell ref="J68:K68"/>
    <mergeCell ref="B53:K53"/>
    <mergeCell ref="B54:B55"/>
    <mergeCell ref="C54:C55"/>
    <mergeCell ref="D54:D55"/>
    <mergeCell ref="E54:F54"/>
    <mergeCell ref="G54:H54"/>
    <mergeCell ref="I54:I55"/>
    <mergeCell ref="J54:K54"/>
    <mergeCell ref="B39:K39"/>
    <mergeCell ref="B40:B41"/>
    <mergeCell ref="C40:C41"/>
    <mergeCell ref="D40:D41"/>
    <mergeCell ref="E40:F40"/>
    <mergeCell ref="G40:H40"/>
    <mergeCell ref="I40:I41"/>
    <mergeCell ref="J40:K40"/>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L105"/>
  <sheetViews>
    <sheetView zoomScale="80" zoomScaleNormal="80" workbookViewId="0"/>
  </sheetViews>
  <sheetFormatPr defaultRowHeight="14.4" x14ac:dyDescent="0.25"/>
  <cols>
    <col min="1" max="1" width="2.33203125" customWidth="1"/>
    <col min="2" max="2" width="80.44140625" customWidth="1"/>
    <col min="3" max="3" width="13.21875" customWidth="1"/>
    <col min="4" max="8" width="12.109375" customWidth="1"/>
    <col min="9" max="9" width="12.88671875" customWidth="1"/>
    <col min="10" max="10" width="12.33203125" bestFit="1" customWidth="1"/>
    <col min="11" max="11" width="10.88671875" customWidth="1"/>
  </cols>
  <sheetData>
    <row r="1" spans="2:38" ht="4.75" customHeight="1" x14ac:dyDescent="0.25"/>
    <row r="2" spans="2:38" ht="15.05" customHeight="1" x14ac:dyDescent="0.3">
      <c r="B2" s="765" t="s">
        <v>1025</v>
      </c>
    </row>
    <row r="3" spans="2:38" ht="15.05" customHeight="1" x14ac:dyDescent="0.3">
      <c r="B3" s="765"/>
    </row>
    <row r="4" spans="2:38" ht="15.05" customHeight="1" x14ac:dyDescent="0.25">
      <c r="B4" s="640" t="s">
        <v>976</v>
      </c>
    </row>
    <row r="5" spans="2:38" ht="15.05" customHeight="1" x14ac:dyDescent="0.25">
      <c r="B5" s="647" t="s">
        <v>994</v>
      </c>
      <c r="C5" s="1084">
        <f>SUM('Avoided Freight Train Delay '!$D$13:$D$14)+'Avoided Lost Train Services'!$D$21</f>
        <v>33333895.630759198</v>
      </c>
    </row>
    <row r="6" spans="2:38" ht="15.05" customHeight="1" x14ac:dyDescent="0.25">
      <c r="B6" s="647" t="s">
        <v>1017</v>
      </c>
      <c r="C6" s="1045">
        <f>'Avoided Lost Train Services'!$D$13</f>
        <v>106995.35644506026</v>
      </c>
    </row>
    <row r="7" spans="2:38" ht="15.05" customHeight="1" x14ac:dyDescent="0.25">
      <c r="B7" s="647" t="s">
        <v>996</v>
      </c>
      <c r="C7" s="1045">
        <f>'Avoided Lost Train Services'!$D$14</f>
        <v>13802.671136298044</v>
      </c>
    </row>
    <row r="8" spans="2:38" ht="15.05" customHeight="1" x14ac:dyDescent="0.25">
      <c r="B8" s="647" t="s">
        <v>1070</v>
      </c>
      <c r="C8" s="1045">
        <f>'Avoided Lost Train Services'!$D$17</f>
        <v>2687.3787906066559</v>
      </c>
    </row>
    <row r="9" spans="2:38" ht="15.05" customHeight="1" x14ac:dyDescent="0.25"/>
    <row r="10" spans="2:38" x14ac:dyDescent="0.25">
      <c r="B10" s="642" t="s">
        <v>960</v>
      </c>
      <c r="C10" s="3"/>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2"/>
      <c r="AK10" s="672"/>
      <c r="AL10" s="672"/>
    </row>
    <row r="11" spans="2:38" ht="15.05" customHeight="1" x14ac:dyDescent="0.25"/>
    <row r="12" spans="2:38" ht="15.05" customHeight="1" x14ac:dyDescent="0.25">
      <c r="B12" s="640" t="s">
        <v>975</v>
      </c>
    </row>
    <row r="13" spans="2:38" ht="15.05" customHeight="1" x14ac:dyDescent="0.25">
      <c r="B13" s="1019" t="s">
        <v>979</v>
      </c>
      <c r="C13" s="924"/>
      <c r="D13" s="924"/>
      <c r="E13" s="924"/>
      <c r="F13" s="924"/>
      <c r="G13" s="924"/>
      <c r="H13" s="924"/>
      <c r="I13" s="924"/>
    </row>
    <row r="14" spans="2:38" ht="17.05" x14ac:dyDescent="0.25">
      <c r="B14" s="647" t="s">
        <v>1001</v>
      </c>
      <c r="C14" s="1051">
        <v>10000</v>
      </c>
      <c r="D14" s="1051">
        <v>11150</v>
      </c>
      <c r="E14" s="1051">
        <v>15650</v>
      </c>
      <c r="F14" s="1051">
        <v>17300</v>
      </c>
      <c r="G14" s="1051">
        <v>20900</v>
      </c>
      <c r="H14" s="1052">
        <v>26900</v>
      </c>
      <c r="I14" s="1051">
        <v>29200</v>
      </c>
    </row>
    <row r="15" spans="2:38" ht="14.25" customHeight="1" x14ac:dyDescent="0.25">
      <c r="B15" s="647" t="s">
        <v>1002</v>
      </c>
      <c r="C15" s="1053">
        <v>2.7199999999999998E-2</v>
      </c>
      <c r="D15" s="1053">
        <v>0.02</v>
      </c>
      <c r="E15" s="1053">
        <v>0.01</v>
      </c>
      <c r="F15" s="1053">
        <v>7.4000000000000003E-3</v>
      </c>
      <c r="G15" s="1053">
        <v>5.0000000000000001E-3</v>
      </c>
      <c r="H15" s="1054">
        <v>2.5999999999999999E-3</v>
      </c>
      <c r="I15" s="1053">
        <v>2E-3</v>
      </c>
      <c r="K15" s="1121" t="s">
        <v>1134</v>
      </c>
    </row>
    <row r="16" spans="2:38" ht="14.25" customHeight="1" x14ac:dyDescent="0.25">
      <c r="B16" s="647" t="s">
        <v>1003</v>
      </c>
      <c r="C16" s="1055">
        <v>0</v>
      </c>
      <c r="D16" s="1056">
        <v>1</v>
      </c>
      <c r="E16" s="1056">
        <v>7</v>
      </c>
      <c r="F16" s="1056">
        <v>10</v>
      </c>
      <c r="G16" s="1056">
        <v>14</v>
      </c>
      <c r="H16" s="1057">
        <f>Assumptions!$D$35*K16</f>
        <v>22</v>
      </c>
      <c r="I16" s="1056">
        <v>25</v>
      </c>
      <c r="K16" s="1123">
        <v>1</v>
      </c>
    </row>
    <row r="17" spans="2:38" x14ac:dyDescent="0.25">
      <c r="B17" s="647" t="s">
        <v>973</v>
      </c>
      <c r="C17" s="1055">
        <v>0</v>
      </c>
      <c r="D17" s="1055">
        <f>$H$17*(D16/$H$16)</f>
        <v>2.0454545454545454</v>
      </c>
      <c r="E17" s="1055">
        <f t="shared" ref="E17:F17" si="0">$H$17*(E16/$H$16)</f>
        <v>14.318181818181818</v>
      </c>
      <c r="F17" s="1055">
        <f t="shared" si="0"/>
        <v>20.454545454545453</v>
      </c>
      <c r="G17" s="1055">
        <f>$H$17*(G16/$H$16)</f>
        <v>28.636363636363637</v>
      </c>
      <c r="H17" s="1057">
        <f>Assumptions!$D$36*K17</f>
        <v>45</v>
      </c>
      <c r="I17" s="1055">
        <f>$H$17*(I16/$H$16)</f>
        <v>51.13636363636364</v>
      </c>
      <c r="K17" s="1123">
        <f>K16</f>
        <v>1</v>
      </c>
    </row>
    <row r="18" spans="2:38" x14ac:dyDescent="0.25">
      <c r="B18" s="647" t="s">
        <v>974</v>
      </c>
      <c r="C18" s="1055">
        <f>(C16/$H$16)*$H$18</f>
        <v>0</v>
      </c>
      <c r="D18" s="1055">
        <f>(D16/$H$16)*$H$18</f>
        <v>5.454545454545455</v>
      </c>
      <c r="E18" s="1055">
        <f>(E16/$H$16)*$H$18</f>
        <v>38.18181818181818</v>
      </c>
      <c r="F18" s="1055">
        <f>(F16/$H$16)*$H$18</f>
        <v>54.545454545454547</v>
      </c>
      <c r="G18" s="1055">
        <f>(G16/$H$16)*$H$18</f>
        <v>76.36363636363636</v>
      </c>
      <c r="H18" s="1057">
        <f>Assumptions!$D$37*K18</f>
        <v>120</v>
      </c>
      <c r="I18" s="1055">
        <f>(I16/$H$16)*$H$18</f>
        <v>136.36363636363637</v>
      </c>
      <c r="K18" s="1123">
        <f>K16</f>
        <v>1</v>
      </c>
    </row>
    <row r="19" spans="2:38" x14ac:dyDescent="0.25">
      <c r="C19" s="924"/>
      <c r="D19" s="924"/>
      <c r="E19" s="924"/>
      <c r="F19" s="924"/>
      <c r="G19" s="924"/>
      <c r="H19" s="924"/>
      <c r="I19" s="924"/>
      <c r="K19" s="1120"/>
    </row>
    <row r="20" spans="2:38" x14ac:dyDescent="0.25">
      <c r="B20" s="640" t="s">
        <v>997</v>
      </c>
      <c r="C20" s="924"/>
      <c r="D20" s="924"/>
      <c r="E20" s="924"/>
      <c r="F20" s="924"/>
      <c r="G20" s="924"/>
      <c r="H20" s="924"/>
      <c r="I20" s="924"/>
    </row>
    <row r="21" spans="2:38" x14ac:dyDescent="0.25">
      <c r="B21" s="647" t="s">
        <v>994</v>
      </c>
      <c r="C21" s="1038">
        <f>C16*$C$5</f>
        <v>0</v>
      </c>
      <c r="D21" s="1038">
        <f t="shared" ref="D21:I21" si="1">D16*$C$5</f>
        <v>33333895.630759198</v>
      </c>
      <c r="E21" s="1038">
        <f t="shared" si="1"/>
        <v>233337269.41531438</v>
      </c>
      <c r="F21" s="1038">
        <f t="shared" si="1"/>
        <v>333338956.30759197</v>
      </c>
      <c r="G21" s="1038">
        <f t="shared" si="1"/>
        <v>466674538.83062875</v>
      </c>
      <c r="H21" s="1038">
        <f>H16*$C$5</f>
        <v>733345703.87670231</v>
      </c>
      <c r="I21" s="1038">
        <f t="shared" si="1"/>
        <v>833347390.76897991</v>
      </c>
    </row>
    <row r="22" spans="2:38" x14ac:dyDescent="0.25">
      <c r="B22" s="647" t="s">
        <v>995</v>
      </c>
      <c r="C22" s="1038">
        <f>C17*$C$6</f>
        <v>0</v>
      </c>
      <c r="D22" s="1038">
        <f t="shared" ref="D22:I22" si="2">D17*$C$6</f>
        <v>218854.1381830778</v>
      </c>
      <c r="E22" s="1038">
        <f t="shared" si="2"/>
        <v>1531978.9672815446</v>
      </c>
      <c r="F22" s="1038">
        <f t="shared" si="2"/>
        <v>2188541.381830778</v>
      </c>
      <c r="G22" s="1038">
        <f t="shared" si="2"/>
        <v>3063957.9345630892</v>
      </c>
      <c r="H22" s="1038">
        <f t="shared" si="2"/>
        <v>4814791.0400277115</v>
      </c>
      <c r="I22" s="1038">
        <f t="shared" si="2"/>
        <v>5471353.4545769449</v>
      </c>
    </row>
    <row r="23" spans="2:38" x14ac:dyDescent="0.25">
      <c r="B23" s="647" t="s">
        <v>996</v>
      </c>
      <c r="C23" s="1038">
        <f>(C18*$C$7)+($C$8*(C18-C17))</f>
        <v>0</v>
      </c>
      <c r="D23" s="1038">
        <f>(D18*$C$7)+($C$8*(D18-D17))</f>
        <v>84448.815711421121</v>
      </c>
      <c r="E23" s="1038">
        <f t="shared" ref="E23:I23" si="3">(E18*$C$7)+($C$8*(E18-E17))</f>
        <v>591141.70997994766</v>
      </c>
      <c r="F23" s="1038">
        <f t="shared" si="3"/>
        <v>844488.15711421112</v>
      </c>
      <c r="G23" s="1038">
        <f t="shared" si="3"/>
        <v>1182283.4199598953</v>
      </c>
      <c r="H23" s="1038">
        <f t="shared" si="3"/>
        <v>1857873.9456512644</v>
      </c>
      <c r="I23" s="1038">
        <f t="shared" si="3"/>
        <v>2111220.3927855282</v>
      </c>
    </row>
    <row r="24" spans="2:38" x14ac:dyDescent="0.25">
      <c r="B24" s="647" t="s">
        <v>1022</v>
      </c>
      <c r="C24" s="1038">
        <v>0</v>
      </c>
      <c r="D24" s="1038">
        <f>(D16/$H$16)*$H$24</f>
        <v>1242623.1818181821</v>
      </c>
      <c r="E24" s="1038">
        <f>(E16/$H$16)*$H$24</f>
        <v>8698362.2727272734</v>
      </c>
      <c r="F24" s="1038">
        <f>(F16/$H$16)*$H$24</f>
        <v>12426231.81818182</v>
      </c>
      <c r="G24" s="1038">
        <f>(G16/$H$16)*$H$24</f>
        <v>17396724.545454547</v>
      </c>
      <c r="H24" s="1058">
        <f>Assumptions!$D$34</f>
        <v>27337710.000000004</v>
      </c>
      <c r="I24" s="1038">
        <f>(I16/$H$16)*$H$24</f>
        <v>31065579.545454554</v>
      </c>
    </row>
    <row r="25" spans="2:38" x14ac:dyDescent="0.25">
      <c r="B25" s="935" t="s">
        <v>393</v>
      </c>
      <c r="C25" s="1059">
        <f t="shared" ref="C25:I25" si="4">SUM(C21:C24)</f>
        <v>0</v>
      </c>
      <c r="D25" s="1059">
        <f t="shared" si="4"/>
        <v>34879821.766471878</v>
      </c>
      <c r="E25" s="1059">
        <f t="shared" si="4"/>
        <v>244158752.36530316</v>
      </c>
      <c r="F25" s="1059">
        <f t="shared" si="4"/>
        <v>348798217.66471875</v>
      </c>
      <c r="G25" s="1059">
        <f t="shared" si="4"/>
        <v>488317504.73060632</v>
      </c>
      <c r="H25" s="1031">
        <f t="shared" si="4"/>
        <v>767356078.86238134</v>
      </c>
      <c r="I25" s="1059">
        <f t="shared" si="4"/>
        <v>871995544.16179693</v>
      </c>
    </row>
    <row r="26" spans="2:38" x14ac:dyDescent="0.25">
      <c r="B26" s="650"/>
      <c r="C26" s="1012"/>
      <c r="D26" s="1014"/>
      <c r="E26" s="1014"/>
      <c r="F26" s="1014"/>
      <c r="G26" s="1014"/>
      <c r="H26" s="1018"/>
      <c r="I26" s="1014"/>
    </row>
    <row r="27" spans="2:38" x14ac:dyDescent="0.25">
      <c r="B27" s="642" t="s">
        <v>605</v>
      </c>
      <c r="C27" s="3"/>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2"/>
    </row>
    <row r="28" spans="2:38" s="657" customFormat="1" x14ac:dyDescent="0.25">
      <c r="B28" s="776"/>
      <c r="C28" s="771"/>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0"/>
    </row>
    <row r="29" spans="2:38" s="657" customFormat="1" x14ac:dyDescent="0.25">
      <c r="B29" s="640" t="s">
        <v>975</v>
      </c>
      <c r="C29" s="771"/>
      <c r="D29" s="750"/>
      <c r="E29" s="750"/>
      <c r="F29" s="750"/>
      <c r="G29" s="750"/>
      <c r="H29" s="750"/>
      <c r="I29" s="750"/>
      <c r="J29" s="750"/>
      <c r="K29" s="750"/>
      <c r="L29" s="750"/>
      <c r="M29" s="750"/>
      <c r="N29" s="750"/>
      <c r="O29" s="750"/>
      <c r="P29" s="750"/>
      <c r="Q29" s="750"/>
      <c r="R29" s="750"/>
      <c r="S29" s="750"/>
      <c r="T29" s="750"/>
      <c r="U29" s="750"/>
      <c r="V29" s="750"/>
      <c r="W29" s="750"/>
      <c r="X29" s="750"/>
      <c r="Y29" s="750"/>
      <c r="Z29" s="750"/>
      <c r="AA29" s="750"/>
      <c r="AB29" s="750"/>
      <c r="AC29" s="750"/>
      <c r="AD29" s="750"/>
      <c r="AE29" s="750"/>
      <c r="AF29" s="750"/>
      <c r="AG29" s="750"/>
      <c r="AH29" s="750"/>
      <c r="AI29" s="750"/>
      <c r="AJ29" s="750"/>
      <c r="AK29" s="750"/>
      <c r="AL29" s="750"/>
    </row>
    <row r="30" spans="2:38" s="657" customFormat="1" x14ac:dyDescent="0.25">
      <c r="B30" s="1019" t="s">
        <v>979</v>
      </c>
      <c r="C30" s="771"/>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c r="AE30" s="750"/>
      <c r="AF30" s="750"/>
      <c r="AG30" s="750"/>
      <c r="AH30" s="750"/>
      <c r="AI30" s="750"/>
      <c r="AJ30" s="750"/>
      <c r="AK30" s="750"/>
      <c r="AL30" s="750"/>
    </row>
    <row r="31" spans="2:38" ht="15.05" customHeight="1" x14ac:dyDescent="0.25">
      <c r="B31" s="647" t="s">
        <v>983</v>
      </c>
      <c r="C31" s="1060">
        <f>C14</f>
        <v>10000</v>
      </c>
      <c r="D31" s="1060">
        <f t="shared" ref="D31:I31" si="5">D14</f>
        <v>11150</v>
      </c>
      <c r="E31" s="1060">
        <f t="shared" si="5"/>
        <v>15650</v>
      </c>
      <c r="F31" s="1060">
        <f t="shared" si="5"/>
        <v>17300</v>
      </c>
      <c r="G31" s="1060">
        <f t="shared" si="5"/>
        <v>20900</v>
      </c>
      <c r="H31" s="1060">
        <f t="shared" si="5"/>
        <v>26900</v>
      </c>
      <c r="I31" s="1060">
        <f t="shared" si="5"/>
        <v>29200</v>
      </c>
    </row>
    <row r="32" spans="2:38" ht="14.25" customHeight="1" x14ac:dyDescent="0.25">
      <c r="B32" s="647" t="s">
        <v>972</v>
      </c>
      <c r="C32" s="1061">
        <f>C15</f>
        <v>2.7199999999999998E-2</v>
      </c>
      <c r="D32" s="1061">
        <f t="shared" ref="D32:I32" si="6">D15</f>
        <v>0.02</v>
      </c>
      <c r="E32" s="1061">
        <f t="shared" si="6"/>
        <v>0.01</v>
      </c>
      <c r="F32" s="1061">
        <f t="shared" si="6"/>
        <v>7.4000000000000003E-3</v>
      </c>
      <c r="G32" s="1061">
        <f t="shared" si="6"/>
        <v>5.0000000000000001E-3</v>
      </c>
      <c r="H32" s="1061">
        <f t="shared" si="6"/>
        <v>2.5999999999999999E-3</v>
      </c>
      <c r="I32" s="1061">
        <f t="shared" si="6"/>
        <v>2E-3</v>
      </c>
    </row>
    <row r="33" spans="2:11" ht="14.25" customHeight="1" x14ac:dyDescent="0.25">
      <c r="B33" s="647" t="s">
        <v>1086</v>
      </c>
      <c r="C33" s="1055">
        <v>0</v>
      </c>
      <c r="D33" s="1055">
        <v>0</v>
      </c>
      <c r="E33" s="1055">
        <v>0</v>
      </c>
      <c r="F33" s="1055">
        <v>0</v>
      </c>
      <c r="G33" s="1056">
        <v>4</v>
      </c>
      <c r="H33" s="1062">
        <v>12</v>
      </c>
      <c r="I33" s="1056">
        <v>15</v>
      </c>
    </row>
    <row r="34" spans="2:11" x14ac:dyDescent="0.25">
      <c r="B34" s="647" t="s">
        <v>973</v>
      </c>
      <c r="C34" s="1055">
        <v>0</v>
      </c>
      <c r="D34" s="1055">
        <f t="shared" ref="D34:I34" si="7">D17*(D33/D16)</f>
        <v>0</v>
      </c>
      <c r="E34" s="1055">
        <f t="shared" si="7"/>
        <v>0</v>
      </c>
      <c r="F34" s="1055">
        <f t="shared" si="7"/>
        <v>0</v>
      </c>
      <c r="G34" s="1055">
        <f t="shared" si="7"/>
        <v>8.1818181818181817</v>
      </c>
      <c r="H34" s="1057">
        <f t="shared" si="7"/>
        <v>24.545454545454543</v>
      </c>
      <c r="I34" s="1055">
        <f t="shared" si="7"/>
        <v>30.681818181818183</v>
      </c>
    </row>
    <row r="35" spans="2:11" x14ac:dyDescent="0.25">
      <c r="B35" s="647" t="s">
        <v>974</v>
      </c>
      <c r="C35" s="1055">
        <v>0</v>
      </c>
      <c r="D35" s="1055">
        <f t="shared" ref="D35:I35" si="8">D18*(D33/D16)</f>
        <v>0</v>
      </c>
      <c r="E35" s="1055">
        <f t="shared" si="8"/>
        <v>0</v>
      </c>
      <c r="F35" s="1055">
        <f t="shared" si="8"/>
        <v>0</v>
      </c>
      <c r="G35" s="1055">
        <f t="shared" si="8"/>
        <v>21.818181818181817</v>
      </c>
      <c r="H35" s="1057">
        <f t="shared" si="8"/>
        <v>65.454545454545453</v>
      </c>
      <c r="I35" s="1055">
        <f t="shared" si="8"/>
        <v>81.818181818181827</v>
      </c>
    </row>
    <row r="36" spans="2:11" x14ac:dyDescent="0.25">
      <c r="C36" s="924"/>
      <c r="D36" s="924"/>
      <c r="E36" s="924"/>
      <c r="F36" s="924"/>
      <c r="G36" s="924"/>
      <c r="H36" s="924"/>
      <c r="I36" s="924"/>
    </row>
    <row r="37" spans="2:11" x14ac:dyDescent="0.25">
      <c r="B37" s="640" t="s">
        <v>997</v>
      </c>
      <c r="C37" s="924"/>
      <c r="D37" s="924"/>
      <c r="E37" s="924"/>
      <c r="F37" s="924"/>
      <c r="G37" s="924"/>
      <c r="H37" s="924"/>
      <c r="I37" s="924"/>
    </row>
    <row r="38" spans="2:11" x14ac:dyDescent="0.25">
      <c r="B38" s="647" t="s">
        <v>994</v>
      </c>
      <c r="C38" s="1038">
        <f>C33*$C$5</f>
        <v>0</v>
      </c>
      <c r="D38" s="1038">
        <f t="shared" ref="D38:I38" si="9">D33*$C$5</f>
        <v>0</v>
      </c>
      <c r="E38" s="1038">
        <f t="shared" si="9"/>
        <v>0</v>
      </c>
      <c r="F38" s="1038">
        <f t="shared" si="9"/>
        <v>0</v>
      </c>
      <c r="G38" s="1038">
        <f>G33*$C$5</f>
        <v>133335582.52303679</v>
      </c>
      <c r="H38" s="1038">
        <f>H33*$C$5</f>
        <v>400006747.56911039</v>
      </c>
      <c r="I38" s="1038">
        <f t="shared" si="9"/>
        <v>500008434.46138799</v>
      </c>
    </row>
    <row r="39" spans="2:11" x14ac:dyDescent="0.25">
      <c r="B39" s="647" t="s">
        <v>995</v>
      </c>
      <c r="C39" s="1038">
        <f>C34*$C$6</f>
        <v>0</v>
      </c>
      <c r="D39" s="1038">
        <f t="shared" ref="D39:I39" si="10">D34*$C$6</f>
        <v>0</v>
      </c>
      <c r="E39" s="1038">
        <f t="shared" si="10"/>
        <v>0</v>
      </c>
      <c r="F39" s="1038">
        <f t="shared" si="10"/>
        <v>0</v>
      </c>
      <c r="G39" s="1038">
        <f t="shared" si="10"/>
        <v>875416.55273231119</v>
      </c>
      <c r="H39" s="1038">
        <f t="shared" si="10"/>
        <v>2626249.6581969336</v>
      </c>
      <c r="I39" s="1038">
        <f t="shared" si="10"/>
        <v>3282812.072746167</v>
      </c>
    </row>
    <row r="40" spans="2:11" x14ac:dyDescent="0.25">
      <c r="B40" s="647" t="s">
        <v>996</v>
      </c>
      <c r="C40" s="1038">
        <f>(C35*$C$7)+($C$8*(C35-C34))</f>
        <v>0</v>
      </c>
      <c r="D40" s="1038">
        <f t="shared" ref="D40:H40" si="11">(D35*$C$7)+($C$8*(D35-D34))</f>
        <v>0</v>
      </c>
      <c r="E40" s="1038">
        <f t="shared" si="11"/>
        <v>0</v>
      </c>
      <c r="F40" s="1038">
        <f t="shared" si="11"/>
        <v>0</v>
      </c>
      <c r="G40" s="1038">
        <f t="shared" si="11"/>
        <v>337795.26284568442</v>
      </c>
      <c r="H40" s="1038">
        <f t="shared" si="11"/>
        <v>1013385.7885370534</v>
      </c>
      <c r="I40" s="1038">
        <f>(I35*$C$7)+($C$8*(I35-I34))</f>
        <v>1266732.2356713167</v>
      </c>
    </row>
    <row r="41" spans="2:11" x14ac:dyDescent="0.25">
      <c r="B41" s="647" t="s">
        <v>986</v>
      </c>
      <c r="C41" s="1038">
        <v>0</v>
      </c>
      <c r="D41" s="1038">
        <f t="shared" ref="D41:I41" si="12">D24*(D33/D16)</f>
        <v>0</v>
      </c>
      <c r="E41" s="1038">
        <f t="shared" si="12"/>
        <v>0</v>
      </c>
      <c r="F41" s="1038">
        <f t="shared" si="12"/>
        <v>0</v>
      </c>
      <c r="G41" s="1038">
        <f t="shared" si="12"/>
        <v>4970492.7272727275</v>
      </c>
      <c r="H41" s="1038">
        <f t="shared" si="12"/>
        <v>14911478.181818184</v>
      </c>
      <c r="I41" s="1038">
        <f t="shared" si="12"/>
        <v>18639347.72727273</v>
      </c>
    </row>
    <row r="42" spans="2:11" x14ac:dyDescent="0.25">
      <c r="B42" s="1013"/>
      <c r="C42" s="1059">
        <f t="shared" ref="C42:I42" si="13">SUM(C38:C41)</f>
        <v>0</v>
      </c>
      <c r="D42" s="1059">
        <f t="shared" si="13"/>
        <v>0</v>
      </c>
      <c r="E42" s="1059">
        <f t="shared" si="13"/>
        <v>0</v>
      </c>
      <c r="F42" s="1059">
        <f t="shared" si="13"/>
        <v>0</v>
      </c>
      <c r="G42" s="1059">
        <f t="shared" si="13"/>
        <v>139519287.06588751</v>
      </c>
      <c r="H42" s="1031">
        <f t="shared" si="13"/>
        <v>418557861.19766253</v>
      </c>
      <c r="I42" s="1059">
        <f t="shared" si="13"/>
        <v>523197326.49707824</v>
      </c>
    </row>
    <row r="43" spans="2:11" x14ac:dyDescent="0.25">
      <c r="B43" s="1013"/>
      <c r="C43" s="1016"/>
      <c r="D43" s="1016"/>
      <c r="E43" s="1016"/>
      <c r="F43" s="1016"/>
      <c r="G43" s="1016"/>
      <c r="H43" s="1017"/>
      <c r="I43" s="1016"/>
    </row>
    <row r="44" spans="2:11" x14ac:dyDescent="0.25">
      <c r="B44" s="640" t="s">
        <v>993</v>
      </c>
    </row>
    <row r="46" spans="2:11" x14ac:dyDescent="0.25">
      <c r="B46" s="1235" t="s">
        <v>1084</v>
      </c>
      <c r="C46" s="1235"/>
      <c r="D46" s="1235"/>
      <c r="E46" s="1235"/>
      <c r="F46" s="1235"/>
      <c r="G46" s="1235"/>
      <c r="H46" s="1235"/>
      <c r="I46" s="1235"/>
      <c r="J46" s="1235"/>
      <c r="K46" s="1235"/>
    </row>
    <row r="47" spans="2:11" x14ac:dyDescent="0.25">
      <c r="B47" s="1236" t="s">
        <v>984</v>
      </c>
      <c r="C47" s="1237" t="s">
        <v>985</v>
      </c>
      <c r="D47" s="1237" t="s">
        <v>980</v>
      </c>
      <c r="E47" s="1238" t="s">
        <v>989</v>
      </c>
      <c r="F47" s="1238"/>
      <c r="G47" s="1239" t="s">
        <v>991</v>
      </c>
      <c r="H47" s="1239"/>
      <c r="I47" s="1240" t="s">
        <v>987</v>
      </c>
      <c r="J47" s="1239" t="s">
        <v>988</v>
      </c>
      <c r="K47" s="1239"/>
    </row>
    <row r="48" spans="2:11" x14ac:dyDescent="0.25">
      <c r="B48" s="1236"/>
      <c r="C48" s="1237"/>
      <c r="D48" s="1237"/>
      <c r="E48" s="1028" t="s">
        <v>605</v>
      </c>
      <c r="F48" s="1028" t="s">
        <v>990</v>
      </c>
      <c r="G48" s="1028" t="s">
        <v>605</v>
      </c>
      <c r="H48" s="1028" t="s">
        <v>990</v>
      </c>
      <c r="I48" s="1240"/>
      <c r="J48" s="1028" t="s">
        <v>605</v>
      </c>
      <c r="K48" s="1028" t="s">
        <v>990</v>
      </c>
    </row>
    <row r="49" spans="2:11" x14ac:dyDescent="0.25">
      <c r="B49" s="1027" t="s">
        <v>981</v>
      </c>
      <c r="C49" s="1027"/>
      <c r="D49" s="1021">
        <f>1/1000000</f>
        <v>9.9999999999999995E-7</v>
      </c>
      <c r="E49" s="1025">
        <f>E50</f>
        <v>500008434.46138799</v>
      </c>
      <c r="F49" s="1025">
        <f>F50</f>
        <v>833347390.76897991</v>
      </c>
      <c r="G49" s="1025"/>
      <c r="H49" s="1025"/>
      <c r="I49" s="1024"/>
      <c r="J49" s="1025"/>
      <c r="K49" s="1025"/>
    </row>
    <row r="50" spans="2:11" x14ac:dyDescent="0.25">
      <c r="B50" s="1027">
        <f>1/D50</f>
        <v>500</v>
      </c>
      <c r="C50" s="1029">
        <f>$I$14</f>
        <v>29200</v>
      </c>
      <c r="D50" s="1021">
        <f>INDEX($C$15:$I$15,MATCH(C50,$C$14:$I$14,0))</f>
        <v>2E-3</v>
      </c>
      <c r="E50" s="1025">
        <f>INDEX($C$38:$I$38,MATCH(C50,$C$31:$I$31,0))</f>
        <v>500008434.46138799</v>
      </c>
      <c r="F50" s="1025">
        <f>INDEX($C$21:$I$21,MATCH(C50,$C$14:$I$14,0))</f>
        <v>833347390.76897991</v>
      </c>
      <c r="G50" s="1025">
        <f>E50</f>
        <v>500008434.46138799</v>
      </c>
      <c r="H50" s="1025">
        <f>F50</f>
        <v>833347390.76897991</v>
      </c>
      <c r="I50" s="1026">
        <f>D50-D49</f>
        <v>1.9989999999999999E-3</v>
      </c>
      <c r="J50" s="1038">
        <f>G50*I50</f>
        <v>999516.86048831453</v>
      </c>
      <c r="K50" s="1038">
        <f>H50*I50</f>
        <v>1665861.4341471908</v>
      </c>
    </row>
    <row r="51" spans="2:11" x14ac:dyDescent="0.25">
      <c r="B51" s="1085">
        <f t="shared" ref="B51:B56" si="14">1/D51</f>
        <v>384.61538461538464</v>
      </c>
      <c r="C51" s="1029">
        <f>$H$14</f>
        <v>26900</v>
      </c>
      <c r="D51" s="1021">
        <f t="shared" ref="D51:D56" si="15">INDEX($C$15:$I$15,MATCH(C51,$C$14:$I$14,0))</f>
        <v>2.5999999999999999E-3</v>
      </c>
      <c r="E51" s="1025">
        <f>INDEX($C$38:$I$38,MATCH(C51,$C$31:$I$31,0))</f>
        <v>400006747.56911039</v>
      </c>
      <c r="F51" s="1025">
        <f t="shared" ref="F51:F56" si="16">INDEX($C$21:$I$21,MATCH(C51,$C$14:$I$14,0))</f>
        <v>733345703.87670231</v>
      </c>
      <c r="G51" s="1025">
        <f>AVERAGE(E50:E51)</f>
        <v>450007591.01524919</v>
      </c>
      <c r="H51" s="1025">
        <f>AVERAGE(F50:F51)</f>
        <v>783346547.32284117</v>
      </c>
      <c r="I51" s="1026">
        <f>D51-D50</f>
        <v>5.9999999999999984E-4</v>
      </c>
      <c r="J51" s="1038">
        <f t="shared" ref="J51:J56" si="17">G51*I51</f>
        <v>270004.55460914946</v>
      </c>
      <c r="K51" s="1038">
        <f t="shared" ref="K51:K56" si="18">H51*I51</f>
        <v>470007.92839370458</v>
      </c>
    </row>
    <row r="52" spans="2:11" x14ac:dyDescent="0.25">
      <c r="B52" s="1030">
        <f t="shared" si="14"/>
        <v>200</v>
      </c>
      <c r="C52" s="1029">
        <f>$G$14</f>
        <v>20900</v>
      </c>
      <c r="D52" s="1021">
        <f t="shared" si="15"/>
        <v>5.0000000000000001E-3</v>
      </c>
      <c r="E52" s="1025">
        <f>INDEX($C$38:$I$38,MATCH(C52,$C$31:$I$31,0))</f>
        <v>133335582.52303679</v>
      </c>
      <c r="F52" s="1025">
        <f t="shared" si="16"/>
        <v>466674538.83062875</v>
      </c>
      <c r="G52" s="1025">
        <f>AVERAGE(E51:E52)</f>
        <v>266671165.04607359</v>
      </c>
      <c r="H52" s="1025">
        <f>AVERAGE(F51:F52)</f>
        <v>600010121.35366559</v>
      </c>
      <c r="I52" s="1026">
        <f>D52-D51</f>
        <v>2.4000000000000002E-3</v>
      </c>
      <c r="J52" s="1038">
        <f t="shared" si="17"/>
        <v>640010.79611057672</v>
      </c>
      <c r="K52" s="1038">
        <f t="shared" si="18"/>
        <v>1440024.2912487974</v>
      </c>
    </row>
    <row r="53" spans="2:11" x14ac:dyDescent="0.25">
      <c r="B53" s="1085">
        <f t="shared" si="14"/>
        <v>135.13513513513513</v>
      </c>
      <c r="C53" s="1029">
        <f>$F$14</f>
        <v>17300</v>
      </c>
      <c r="D53" s="1021">
        <f t="shared" si="15"/>
        <v>7.4000000000000003E-3</v>
      </c>
      <c r="E53" s="1025">
        <f t="shared" ref="E53:E56" si="19">INDEX($C$38:$I$38,MATCH(C53,$C$31:$I$31,0))</f>
        <v>0</v>
      </c>
      <c r="F53" s="1025">
        <f t="shared" si="16"/>
        <v>333338956.30759197</v>
      </c>
      <c r="G53" s="1025">
        <f>AVERAGE(E52:E53)</f>
        <v>66667791.261518396</v>
      </c>
      <c r="H53" s="1025">
        <f t="shared" ref="H53:H56" si="20">AVERAGE(F52:F53)</f>
        <v>400006747.56911039</v>
      </c>
      <c r="I53" s="1026">
        <f t="shared" ref="I53:I56" si="21">D53-D52</f>
        <v>2.4000000000000002E-3</v>
      </c>
      <c r="J53" s="1038">
        <f t="shared" si="17"/>
        <v>160002.69902764418</v>
      </c>
      <c r="K53" s="1038">
        <f t="shared" si="18"/>
        <v>960016.19416586508</v>
      </c>
    </row>
    <row r="54" spans="2:11" x14ac:dyDescent="0.25">
      <c r="B54" s="1030">
        <f t="shared" si="14"/>
        <v>100</v>
      </c>
      <c r="C54" s="1029">
        <f>$E$14</f>
        <v>15650</v>
      </c>
      <c r="D54" s="1021">
        <f t="shared" si="15"/>
        <v>0.01</v>
      </c>
      <c r="E54" s="1025">
        <f t="shared" si="19"/>
        <v>0</v>
      </c>
      <c r="F54" s="1025">
        <f t="shared" si="16"/>
        <v>233337269.41531438</v>
      </c>
      <c r="G54" s="1025">
        <f>AVERAGE(E53:E54)</f>
        <v>0</v>
      </c>
      <c r="H54" s="1025">
        <f>AVERAGE(F53:F54)</f>
        <v>283338112.86145318</v>
      </c>
      <c r="I54" s="1026">
        <f t="shared" si="21"/>
        <v>2.5999999999999999E-3</v>
      </c>
      <c r="J54" s="1038">
        <f t="shared" si="17"/>
        <v>0</v>
      </c>
      <c r="K54" s="1038">
        <f t="shared" si="18"/>
        <v>736679.0934397782</v>
      </c>
    </row>
    <row r="55" spans="2:11" x14ac:dyDescent="0.25">
      <c r="B55" s="1030">
        <f t="shared" si="14"/>
        <v>50</v>
      </c>
      <c r="C55" s="1029">
        <f>$D$14</f>
        <v>11150</v>
      </c>
      <c r="D55" s="1021">
        <f t="shared" si="15"/>
        <v>0.02</v>
      </c>
      <c r="E55" s="1025">
        <f t="shared" si="19"/>
        <v>0</v>
      </c>
      <c r="F55" s="1025">
        <f t="shared" si="16"/>
        <v>33333895.630759198</v>
      </c>
      <c r="G55" s="1025">
        <f>AVERAGE(E54:E55)</f>
        <v>0</v>
      </c>
      <c r="H55" s="1025">
        <f t="shared" si="20"/>
        <v>133335582.52303679</v>
      </c>
      <c r="I55" s="1026">
        <f t="shared" si="21"/>
        <v>0.01</v>
      </c>
      <c r="J55" s="1038">
        <f t="shared" si="17"/>
        <v>0</v>
      </c>
      <c r="K55" s="1038">
        <f t="shared" si="18"/>
        <v>1333355.8252303679</v>
      </c>
    </row>
    <row r="56" spans="2:11" x14ac:dyDescent="0.25">
      <c r="B56" s="1085">
        <f t="shared" si="14"/>
        <v>36.764705882352942</v>
      </c>
      <c r="C56" s="1029">
        <f>$C$14</f>
        <v>10000</v>
      </c>
      <c r="D56" s="1021">
        <f t="shared" si="15"/>
        <v>2.7199999999999998E-2</v>
      </c>
      <c r="E56" s="1025">
        <f t="shared" si="19"/>
        <v>0</v>
      </c>
      <c r="F56" s="1025">
        <f t="shared" si="16"/>
        <v>0</v>
      </c>
      <c r="G56" s="1025">
        <f>AVERAGE(E55:E56)</f>
        <v>0</v>
      </c>
      <c r="H56" s="1025">
        <f t="shared" si="20"/>
        <v>16666947.815379599</v>
      </c>
      <c r="I56" s="1026">
        <f t="shared" si="21"/>
        <v>7.1999999999999981E-3</v>
      </c>
      <c r="J56" s="1038">
        <f t="shared" si="17"/>
        <v>0</v>
      </c>
      <c r="K56" s="1038">
        <f t="shared" si="18"/>
        <v>120002.02427073308</v>
      </c>
    </row>
    <row r="57" spans="2:11" x14ac:dyDescent="0.25">
      <c r="B57" s="660"/>
      <c r="C57" s="660"/>
      <c r="D57" s="660"/>
      <c r="E57" s="660"/>
      <c r="F57" s="660"/>
      <c r="G57" s="1022"/>
      <c r="H57" s="1022"/>
      <c r="I57" s="1032" t="s">
        <v>992</v>
      </c>
      <c r="J57" s="1036">
        <f>SUM(J50:J56)</f>
        <v>2069534.9102356848</v>
      </c>
      <c r="K57" s="1036">
        <f>SUM(K50:K56)</f>
        <v>6725946.7908964371</v>
      </c>
    </row>
    <row r="58" spans="2:11" x14ac:dyDescent="0.25">
      <c r="B58" s="661"/>
      <c r="C58" s="661"/>
      <c r="D58" s="1020"/>
      <c r="E58" s="1023"/>
      <c r="F58" s="1023"/>
      <c r="G58" s="660"/>
      <c r="H58" s="660"/>
      <c r="I58" s="1033" t="s">
        <v>982</v>
      </c>
      <c r="J58" s="1035">
        <f>K57-J57</f>
        <v>4656411.8806607518</v>
      </c>
      <c r="K58" s="1034"/>
    </row>
    <row r="59" spans="2:11" x14ac:dyDescent="0.25">
      <c r="B59" s="660"/>
      <c r="C59" s="660"/>
      <c r="D59" s="660"/>
      <c r="E59" s="660"/>
      <c r="F59" s="660"/>
      <c r="G59" s="1022"/>
      <c r="H59" s="1022"/>
      <c r="I59" s="1"/>
      <c r="J59" s="1"/>
      <c r="K59" s="1"/>
    </row>
    <row r="60" spans="2:11" x14ac:dyDescent="0.25">
      <c r="B60" s="1235" t="s">
        <v>998</v>
      </c>
      <c r="C60" s="1235"/>
      <c r="D60" s="1235"/>
      <c r="E60" s="1235"/>
      <c r="F60" s="1235"/>
      <c r="G60" s="1235"/>
      <c r="H60" s="1235"/>
      <c r="I60" s="1235"/>
      <c r="J60" s="1235"/>
      <c r="K60" s="1235"/>
    </row>
    <row r="61" spans="2:11" x14ac:dyDescent="0.25">
      <c r="B61" s="1236" t="s">
        <v>984</v>
      </c>
      <c r="C61" s="1237" t="s">
        <v>985</v>
      </c>
      <c r="D61" s="1237" t="s">
        <v>980</v>
      </c>
      <c r="E61" s="1238" t="s">
        <v>989</v>
      </c>
      <c r="F61" s="1238"/>
      <c r="G61" s="1239" t="s">
        <v>991</v>
      </c>
      <c r="H61" s="1239"/>
      <c r="I61" s="1240" t="s">
        <v>987</v>
      </c>
      <c r="J61" s="1239" t="s">
        <v>988</v>
      </c>
      <c r="K61" s="1239"/>
    </row>
    <row r="62" spans="2:11" x14ac:dyDescent="0.25">
      <c r="B62" s="1236"/>
      <c r="C62" s="1237"/>
      <c r="D62" s="1237"/>
      <c r="E62" s="1028" t="s">
        <v>605</v>
      </c>
      <c r="F62" s="1028" t="s">
        <v>990</v>
      </c>
      <c r="G62" s="1028" t="s">
        <v>605</v>
      </c>
      <c r="H62" s="1028" t="s">
        <v>990</v>
      </c>
      <c r="I62" s="1240"/>
      <c r="J62" s="1028" t="s">
        <v>605</v>
      </c>
      <c r="K62" s="1028" t="s">
        <v>990</v>
      </c>
    </row>
    <row r="63" spans="2:11" x14ac:dyDescent="0.25">
      <c r="B63" s="1027" t="s">
        <v>981</v>
      </c>
      <c r="C63" s="1027"/>
      <c r="D63" s="1021">
        <f>1/1000000</f>
        <v>9.9999999999999995E-7</v>
      </c>
      <c r="E63" s="1038">
        <f>E64</f>
        <v>3282812.072746167</v>
      </c>
      <c r="F63" s="1038">
        <f>F64</f>
        <v>5471353.4545769449</v>
      </c>
      <c r="G63" s="1025"/>
      <c r="H63" s="1025"/>
      <c r="I63" s="1024"/>
      <c r="J63" s="1025"/>
      <c r="K63" s="1025"/>
    </row>
    <row r="64" spans="2:11" x14ac:dyDescent="0.25">
      <c r="B64" s="1030">
        <f>1/D64</f>
        <v>500</v>
      </c>
      <c r="C64" s="1029">
        <f>$I$14</f>
        <v>29200</v>
      </c>
      <c r="D64" s="1021">
        <f>INDEX($C$15:$I$15,MATCH(C64,$C$14:$I$14,0))</f>
        <v>2E-3</v>
      </c>
      <c r="E64" s="1038">
        <f>INDEX($C$39:$I$39,MATCH(C64,$C$31:$I$31,0))</f>
        <v>3282812.072746167</v>
      </c>
      <c r="F64" s="1038">
        <f>INDEX($C$22:$I$22,MATCH(C64,$C$14:$I$14,0))</f>
        <v>5471353.4545769449</v>
      </c>
      <c r="G64" s="1025">
        <f>E64</f>
        <v>3282812.072746167</v>
      </c>
      <c r="H64" s="1025">
        <f>F64</f>
        <v>5471353.4545769449</v>
      </c>
      <c r="I64" s="1026">
        <f>D64-D63</f>
        <v>1.9989999999999999E-3</v>
      </c>
      <c r="J64" s="1025">
        <f>G64*I64</f>
        <v>6562.3413334195875</v>
      </c>
      <c r="K64" s="1025">
        <f>H64*I64</f>
        <v>10937.235555699312</v>
      </c>
    </row>
    <row r="65" spans="2:11" x14ac:dyDescent="0.25">
      <c r="B65" s="1085">
        <f t="shared" ref="B65:B70" si="22">1/D65</f>
        <v>384.61538461538464</v>
      </c>
      <c r="C65" s="1029">
        <f>$H$14</f>
        <v>26900</v>
      </c>
      <c r="D65" s="1021">
        <f t="shared" ref="D65:D70" si="23">INDEX($C$15:$I$15,MATCH(C65,$C$14:$I$14,0))</f>
        <v>2.5999999999999999E-3</v>
      </c>
      <c r="E65" s="1038">
        <f t="shared" ref="E65:E70" si="24">INDEX($C$39:$I$39,MATCH(C65,$C$31:$I$31,0))</f>
        <v>2626249.6581969336</v>
      </c>
      <c r="F65" s="1038">
        <f t="shared" ref="F65:F70" si="25">INDEX($C$22:$I$22,MATCH(C65,$C$14:$I$14,0))</f>
        <v>4814791.0400277115</v>
      </c>
      <c r="G65" s="1025">
        <f>AVERAGE(E64:E65)</f>
        <v>2954530.8654715503</v>
      </c>
      <c r="H65" s="1025">
        <f>AVERAGE(F64:F65)</f>
        <v>5143072.2473023282</v>
      </c>
      <c r="I65" s="1026">
        <f>D65-D64</f>
        <v>5.9999999999999984E-4</v>
      </c>
      <c r="J65" s="1025">
        <f t="shared" ref="J65:J70" si="26">G65*I65</f>
        <v>1772.7185192829297</v>
      </c>
      <c r="K65" s="1025">
        <f t="shared" ref="K65:K70" si="27">H65*I65</f>
        <v>3085.843348381396</v>
      </c>
    </row>
    <row r="66" spans="2:11" x14ac:dyDescent="0.25">
      <c r="B66" s="1030">
        <f t="shared" si="22"/>
        <v>200</v>
      </c>
      <c r="C66" s="1029">
        <f>$G$14</f>
        <v>20900</v>
      </c>
      <c r="D66" s="1021">
        <f t="shared" si="23"/>
        <v>5.0000000000000001E-3</v>
      </c>
      <c r="E66" s="1038">
        <f t="shared" si="24"/>
        <v>875416.55273231119</v>
      </c>
      <c r="F66" s="1038">
        <f t="shared" si="25"/>
        <v>3063957.9345630892</v>
      </c>
      <c r="G66" s="1025">
        <f>AVERAGE(E65:E66)</f>
        <v>1750833.1054646224</v>
      </c>
      <c r="H66" s="1025">
        <f>AVERAGE(F65:F66)</f>
        <v>3939374.4872954004</v>
      </c>
      <c r="I66" s="1026">
        <f>D66-D65</f>
        <v>2.4000000000000002E-3</v>
      </c>
      <c r="J66" s="1025">
        <f t="shared" si="26"/>
        <v>4201.9994531150942</v>
      </c>
      <c r="K66" s="1025">
        <f t="shared" si="27"/>
        <v>9454.4987695089621</v>
      </c>
    </row>
    <row r="67" spans="2:11" x14ac:dyDescent="0.25">
      <c r="B67" s="1085">
        <f t="shared" si="22"/>
        <v>135.13513513513513</v>
      </c>
      <c r="C67" s="1029">
        <f>$F$14</f>
        <v>17300</v>
      </c>
      <c r="D67" s="1021">
        <f t="shared" si="23"/>
        <v>7.4000000000000003E-3</v>
      </c>
      <c r="E67" s="1038">
        <f t="shared" si="24"/>
        <v>0</v>
      </c>
      <c r="F67" s="1038">
        <f t="shared" si="25"/>
        <v>2188541.381830778</v>
      </c>
      <c r="G67" s="1025">
        <f>AVERAGE(E66:E67)</f>
        <v>437708.27636615559</v>
      </c>
      <c r="H67" s="1025">
        <f t="shared" ref="H67" si="28">AVERAGE(F66:F67)</f>
        <v>2626249.6581969336</v>
      </c>
      <c r="I67" s="1026">
        <f t="shared" ref="I67:I70" si="29">D67-D66</f>
        <v>2.4000000000000002E-3</v>
      </c>
      <c r="J67" s="1025">
        <f t="shared" si="26"/>
        <v>1050.4998632787735</v>
      </c>
      <c r="K67" s="1025">
        <f t="shared" si="27"/>
        <v>6302.9991796726408</v>
      </c>
    </row>
    <row r="68" spans="2:11" x14ac:dyDescent="0.25">
      <c r="B68" s="1030">
        <f t="shared" si="22"/>
        <v>100</v>
      </c>
      <c r="C68" s="1029">
        <f>$E$14</f>
        <v>15650</v>
      </c>
      <c r="D68" s="1021">
        <f t="shared" si="23"/>
        <v>0.01</v>
      </c>
      <c r="E68" s="1038">
        <f t="shared" si="24"/>
        <v>0</v>
      </c>
      <c r="F68" s="1038">
        <f t="shared" si="25"/>
        <v>1531978.9672815446</v>
      </c>
      <c r="G68" s="1025">
        <f>AVERAGE(E67:E68)</f>
        <v>0</v>
      </c>
      <c r="H68" s="1025">
        <f>AVERAGE(F67:F68)</f>
        <v>1860260.1745561613</v>
      </c>
      <c r="I68" s="1026">
        <f t="shared" si="29"/>
        <v>2.5999999999999999E-3</v>
      </c>
      <c r="J68" s="1025">
        <f t="shared" si="26"/>
        <v>0</v>
      </c>
      <c r="K68" s="1025">
        <f t="shared" si="27"/>
        <v>4836.6764538460193</v>
      </c>
    </row>
    <row r="69" spans="2:11" x14ac:dyDescent="0.25">
      <c r="B69" s="1030">
        <f t="shared" si="22"/>
        <v>50</v>
      </c>
      <c r="C69" s="1029">
        <f>$D$14</f>
        <v>11150</v>
      </c>
      <c r="D69" s="1021">
        <f t="shared" si="23"/>
        <v>0.02</v>
      </c>
      <c r="E69" s="1038">
        <f t="shared" si="24"/>
        <v>0</v>
      </c>
      <c r="F69" s="1038">
        <f t="shared" si="25"/>
        <v>218854.1381830778</v>
      </c>
      <c r="G69" s="1025">
        <f>AVERAGE(E68:E69)</f>
        <v>0</v>
      </c>
      <c r="H69" s="1025">
        <f t="shared" ref="H69:H70" si="30">AVERAGE(F68:F69)</f>
        <v>875416.55273231119</v>
      </c>
      <c r="I69" s="1026">
        <f t="shared" si="29"/>
        <v>0.01</v>
      </c>
      <c r="J69" s="1025">
        <f t="shared" si="26"/>
        <v>0</v>
      </c>
      <c r="K69" s="1025">
        <f t="shared" si="27"/>
        <v>8754.1655273231117</v>
      </c>
    </row>
    <row r="70" spans="2:11" x14ac:dyDescent="0.25">
      <c r="B70" s="1085">
        <f t="shared" si="22"/>
        <v>36.764705882352942</v>
      </c>
      <c r="C70" s="1029">
        <f>$C$14</f>
        <v>10000</v>
      </c>
      <c r="D70" s="1021">
        <f t="shared" si="23"/>
        <v>2.7199999999999998E-2</v>
      </c>
      <c r="E70" s="1038">
        <f t="shared" si="24"/>
        <v>0</v>
      </c>
      <c r="F70" s="1038">
        <f t="shared" si="25"/>
        <v>0</v>
      </c>
      <c r="G70" s="1025">
        <f>AVERAGE(E69:E70)</f>
        <v>0</v>
      </c>
      <c r="H70" s="1025">
        <f t="shared" si="30"/>
        <v>109427.0690915389</v>
      </c>
      <c r="I70" s="1026">
        <f t="shared" si="29"/>
        <v>7.1999999999999981E-3</v>
      </c>
      <c r="J70" s="1025">
        <f t="shared" si="26"/>
        <v>0</v>
      </c>
      <c r="K70" s="1025">
        <f t="shared" si="27"/>
        <v>787.87489745907988</v>
      </c>
    </row>
    <row r="71" spans="2:11" x14ac:dyDescent="0.25">
      <c r="B71" s="660"/>
      <c r="C71" s="660"/>
      <c r="D71" s="660"/>
      <c r="E71" s="660"/>
      <c r="F71" s="660"/>
      <c r="G71" s="1022"/>
      <c r="H71" s="1022"/>
      <c r="I71" s="1032" t="s">
        <v>992</v>
      </c>
      <c r="J71" s="1036">
        <f>SUM(J64:J70)</f>
        <v>13587.559169096387</v>
      </c>
      <c r="K71" s="1036">
        <f>SUM(K64:K70)</f>
        <v>44159.293731890524</v>
      </c>
    </row>
    <row r="72" spans="2:11" x14ac:dyDescent="0.25">
      <c r="B72" s="661"/>
      <c r="C72" s="661"/>
      <c r="D72" s="1020"/>
      <c r="E72" s="1023"/>
      <c r="F72" s="1023"/>
      <c r="G72" s="660"/>
      <c r="H72" s="660"/>
      <c r="I72" s="1033" t="s">
        <v>982</v>
      </c>
      <c r="J72" s="1035">
        <f>K71-J71</f>
        <v>30571.734562794139</v>
      </c>
      <c r="K72" s="1037"/>
    </row>
    <row r="74" spans="2:11" x14ac:dyDescent="0.25">
      <c r="B74" s="1235" t="s">
        <v>999</v>
      </c>
      <c r="C74" s="1235"/>
      <c r="D74" s="1235"/>
      <c r="E74" s="1235"/>
      <c r="F74" s="1235"/>
      <c r="G74" s="1235"/>
      <c r="H74" s="1235"/>
      <c r="I74" s="1235"/>
      <c r="J74" s="1235"/>
      <c r="K74" s="1235"/>
    </row>
    <row r="75" spans="2:11" x14ac:dyDescent="0.25">
      <c r="B75" s="1236" t="s">
        <v>984</v>
      </c>
      <c r="C75" s="1237" t="s">
        <v>985</v>
      </c>
      <c r="D75" s="1237" t="s">
        <v>980</v>
      </c>
      <c r="E75" s="1238" t="s">
        <v>989</v>
      </c>
      <c r="F75" s="1238"/>
      <c r="G75" s="1239" t="s">
        <v>991</v>
      </c>
      <c r="H75" s="1239"/>
      <c r="I75" s="1240" t="s">
        <v>987</v>
      </c>
      <c r="J75" s="1239" t="s">
        <v>988</v>
      </c>
      <c r="K75" s="1239"/>
    </row>
    <row r="76" spans="2:11" x14ac:dyDescent="0.25">
      <c r="B76" s="1236"/>
      <c r="C76" s="1237"/>
      <c r="D76" s="1237"/>
      <c r="E76" s="1028" t="s">
        <v>605</v>
      </c>
      <c r="F76" s="1028" t="s">
        <v>990</v>
      </c>
      <c r="G76" s="1028" t="s">
        <v>605</v>
      </c>
      <c r="H76" s="1028" t="s">
        <v>990</v>
      </c>
      <c r="I76" s="1240"/>
      <c r="J76" s="1028" t="s">
        <v>605</v>
      </c>
      <c r="K76" s="1028" t="s">
        <v>990</v>
      </c>
    </row>
    <row r="77" spans="2:11" x14ac:dyDescent="0.25">
      <c r="B77" s="1027" t="s">
        <v>981</v>
      </c>
      <c r="C77" s="1027"/>
      <c r="D77" s="1021">
        <f>1/1000000</f>
        <v>9.9999999999999995E-7</v>
      </c>
      <c r="E77" s="1038">
        <f>E78</f>
        <v>1266732.2356713167</v>
      </c>
      <c r="F77" s="1038">
        <f>F78</f>
        <v>2111220.3927855282</v>
      </c>
      <c r="G77" s="1025"/>
      <c r="H77" s="1025"/>
      <c r="I77" s="1024"/>
      <c r="J77" s="1025"/>
      <c r="K77" s="1025"/>
    </row>
    <row r="78" spans="2:11" x14ac:dyDescent="0.25">
      <c r="B78" s="1030">
        <f>1/D78</f>
        <v>500</v>
      </c>
      <c r="C78" s="1029">
        <f>$I$14</f>
        <v>29200</v>
      </c>
      <c r="D78" s="1021">
        <f>INDEX($C$15:$I$15,MATCH(C78,$C$14:$I$14,0))</f>
        <v>2E-3</v>
      </c>
      <c r="E78" s="1038">
        <f>INDEX($C$40:$I$40,MATCH(C78,$C$31:$I$31,0))</f>
        <v>1266732.2356713167</v>
      </c>
      <c r="F78" s="1038">
        <f>INDEX($C$23:$I$23,MATCH(C78,$C$14:$I$14,0))</f>
        <v>2111220.3927855282</v>
      </c>
      <c r="G78" s="1025">
        <f>E78</f>
        <v>1266732.2356713167</v>
      </c>
      <c r="H78" s="1025">
        <f>F78</f>
        <v>2111220.3927855282</v>
      </c>
      <c r="I78" s="1026">
        <f>D78-D77</f>
        <v>1.9989999999999999E-3</v>
      </c>
      <c r="J78" s="1025">
        <f>G78*I78</f>
        <v>2532.1977391069622</v>
      </c>
      <c r="K78" s="1025">
        <f>H78*I78</f>
        <v>4220.329565178271</v>
      </c>
    </row>
    <row r="79" spans="2:11" x14ac:dyDescent="0.25">
      <c r="B79" s="1085">
        <f t="shared" ref="B79:B84" si="31">1/D79</f>
        <v>384.61538461538464</v>
      </c>
      <c r="C79" s="1029">
        <f>$H$14</f>
        <v>26900</v>
      </c>
      <c r="D79" s="1021">
        <f t="shared" ref="D79:D84" si="32">INDEX($C$15:$I$15,MATCH(C79,$C$14:$I$14,0))</f>
        <v>2.5999999999999999E-3</v>
      </c>
      <c r="E79" s="1038">
        <f t="shared" ref="E79:E84" si="33">INDEX($C$40:$I$40,MATCH(C79,$C$31:$I$31,0))</f>
        <v>1013385.7885370534</v>
      </c>
      <c r="F79" s="1038">
        <f t="shared" ref="F79:F84" si="34">INDEX($C$23:$I$23,MATCH(C79,$C$14:$I$14,0))</f>
        <v>1857873.9456512644</v>
      </c>
      <c r="G79" s="1025">
        <f>AVERAGE(E78:E79)</f>
        <v>1140059.0121041851</v>
      </c>
      <c r="H79" s="1025">
        <f>AVERAGE(F78:F79)</f>
        <v>1984547.1692183963</v>
      </c>
      <c r="I79" s="1026">
        <f>D79-D78</f>
        <v>5.9999999999999984E-4</v>
      </c>
      <c r="J79" s="1025">
        <f t="shared" ref="J79:J84" si="35">G79*I79</f>
        <v>684.03540726251083</v>
      </c>
      <c r="K79" s="1025">
        <f t="shared" ref="K79:K84" si="36">H79*I79</f>
        <v>1190.7283015310375</v>
      </c>
    </row>
    <row r="80" spans="2:11" x14ac:dyDescent="0.25">
      <c r="B80" s="1030">
        <f t="shared" si="31"/>
        <v>200</v>
      </c>
      <c r="C80" s="1029">
        <f>$G$14</f>
        <v>20900</v>
      </c>
      <c r="D80" s="1021">
        <f t="shared" si="32"/>
        <v>5.0000000000000001E-3</v>
      </c>
      <c r="E80" s="1038">
        <f t="shared" si="33"/>
        <v>337795.26284568442</v>
      </c>
      <c r="F80" s="1038">
        <f t="shared" si="34"/>
        <v>1182283.4199598953</v>
      </c>
      <c r="G80" s="1025">
        <f>AVERAGE(E79:E80)</f>
        <v>675590.52569136885</v>
      </c>
      <c r="H80" s="1025">
        <f>AVERAGE(F79:F80)</f>
        <v>1520078.6828055799</v>
      </c>
      <c r="I80" s="1026">
        <f>D80-D79</f>
        <v>2.4000000000000002E-3</v>
      </c>
      <c r="J80" s="1025">
        <f t="shared" si="35"/>
        <v>1621.4172616592855</v>
      </c>
      <c r="K80" s="1025">
        <f t="shared" si="36"/>
        <v>3648.188838733392</v>
      </c>
    </row>
    <row r="81" spans="2:11" x14ac:dyDescent="0.25">
      <c r="B81" s="1085">
        <f t="shared" si="31"/>
        <v>135.13513513513513</v>
      </c>
      <c r="C81" s="1029">
        <f>$F$14</f>
        <v>17300</v>
      </c>
      <c r="D81" s="1021">
        <f t="shared" si="32"/>
        <v>7.4000000000000003E-3</v>
      </c>
      <c r="E81" s="1038">
        <f t="shared" si="33"/>
        <v>0</v>
      </c>
      <c r="F81" s="1038">
        <f t="shared" si="34"/>
        <v>844488.15711421112</v>
      </c>
      <c r="G81" s="1025">
        <f>AVERAGE(E80:E81)</f>
        <v>168897.63142284221</v>
      </c>
      <c r="H81" s="1025">
        <f t="shared" ref="H81" si="37">AVERAGE(F80:F81)</f>
        <v>1013385.7885370532</v>
      </c>
      <c r="I81" s="1026">
        <f t="shared" ref="I81:I84" si="38">D81-D80</f>
        <v>2.4000000000000002E-3</v>
      </c>
      <c r="J81" s="1025">
        <f t="shared" si="35"/>
        <v>405.35431541482137</v>
      </c>
      <c r="K81" s="1025">
        <f t="shared" si="36"/>
        <v>2432.125892488928</v>
      </c>
    </row>
    <row r="82" spans="2:11" x14ac:dyDescent="0.25">
      <c r="B82" s="1030">
        <f t="shared" si="31"/>
        <v>100</v>
      </c>
      <c r="C82" s="1029">
        <f>$E$14</f>
        <v>15650</v>
      </c>
      <c r="D82" s="1021">
        <f t="shared" si="32"/>
        <v>0.01</v>
      </c>
      <c r="E82" s="1038">
        <f t="shared" si="33"/>
        <v>0</v>
      </c>
      <c r="F82" s="1038">
        <f t="shared" si="34"/>
        <v>591141.70997994766</v>
      </c>
      <c r="G82" s="1025">
        <f>AVERAGE(E81:E82)</f>
        <v>0</v>
      </c>
      <c r="H82" s="1025">
        <f>AVERAGE(F81:F82)</f>
        <v>717814.93354707933</v>
      </c>
      <c r="I82" s="1026">
        <f t="shared" si="38"/>
        <v>2.5999999999999999E-3</v>
      </c>
      <c r="J82" s="1025">
        <f t="shared" si="35"/>
        <v>0</v>
      </c>
      <c r="K82" s="1025">
        <f t="shared" si="36"/>
        <v>1866.3188272224061</v>
      </c>
    </row>
    <row r="83" spans="2:11" x14ac:dyDescent="0.25">
      <c r="B83" s="1030">
        <f t="shared" si="31"/>
        <v>50</v>
      </c>
      <c r="C83" s="1029">
        <f>$D$14</f>
        <v>11150</v>
      </c>
      <c r="D83" s="1021">
        <f t="shared" si="32"/>
        <v>0.02</v>
      </c>
      <c r="E83" s="1038">
        <f t="shared" si="33"/>
        <v>0</v>
      </c>
      <c r="F83" s="1038">
        <f t="shared" si="34"/>
        <v>84448.815711421121</v>
      </c>
      <c r="G83" s="1025">
        <f>AVERAGE(E82:E83)</f>
        <v>0</v>
      </c>
      <c r="H83" s="1025">
        <f t="shared" ref="H83:H84" si="39">AVERAGE(F82:F83)</f>
        <v>337795.26284568437</v>
      </c>
      <c r="I83" s="1026">
        <f t="shared" si="38"/>
        <v>0.01</v>
      </c>
      <c r="J83" s="1025">
        <f t="shared" si="35"/>
        <v>0</v>
      </c>
      <c r="K83" s="1025">
        <f t="shared" si="36"/>
        <v>3377.9526284568437</v>
      </c>
    </row>
    <row r="84" spans="2:11" x14ac:dyDescent="0.25">
      <c r="B84" s="1085">
        <f t="shared" si="31"/>
        <v>36.764705882352942</v>
      </c>
      <c r="C84" s="1029">
        <f>$C$14</f>
        <v>10000</v>
      </c>
      <c r="D84" s="1021">
        <f t="shared" si="32"/>
        <v>2.7199999999999998E-2</v>
      </c>
      <c r="E84" s="1038">
        <f t="shared" si="33"/>
        <v>0</v>
      </c>
      <c r="F84" s="1038">
        <f t="shared" si="34"/>
        <v>0</v>
      </c>
      <c r="G84" s="1025">
        <f>AVERAGE(E83:E84)</f>
        <v>0</v>
      </c>
      <c r="H84" s="1025">
        <f t="shared" si="39"/>
        <v>42224.40785571056</v>
      </c>
      <c r="I84" s="1026">
        <f t="shared" si="38"/>
        <v>7.1999999999999981E-3</v>
      </c>
      <c r="J84" s="1025">
        <f t="shared" si="35"/>
        <v>0</v>
      </c>
      <c r="K84" s="1025">
        <f t="shared" si="36"/>
        <v>304.01573656111594</v>
      </c>
    </row>
    <row r="85" spans="2:11" x14ac:dyDescent="0.25">
      <c r="B85" s="660"/>
      <c r="C85" s="660"/>
      <c r="D85" s="660"/>
      <c r="E85" s="660"/>
      <c r="F85" s="660"/>
      <c r="G85" s="1022"/>
      <c r="H85" s="1022"/>
      <c r="I85" s="1032" t="s">
        <v>992</v>
      </c>
      <c r="J85" s="1036">
        <f>SUM(J78:J84)</f>
        <v>5243.0047234435797</v>
      </c>
      <c r="K85" s="1036">
        <f>SUM(K78:K84)</f>
        <v>17039.659790171994</v>
      </c>
    </row>
    <row r="86" spans="2:11" x14ac:dyDescent="0.25">
      <c r="B86" s="661"/>
      <c r="C86" s="661"/>
      <c r="D86" s="1020"/>
      <c r="E86" s="1023"/>
      <c r="F86" s="1023"/>
      <c r="G86" s="660"/>
      <c r="H86" s="660"/>
      <c r="I86" s="1033" t="s">
        <v>982</v>
      </c>
      <c r="J86" s="1035">
        <f>K85-J85</f>
        <v>11796.655066728414</v>
      </c>
      <c r="K86" s="1037"/>
    </row>
    <row r="88" spans="2:11" x14ac:dyDescent="0.25">
      <c r="B88" s="1235" t="s">
        <v>1000</v>
      </c>
      <c r="C88" s="1235"/>
      <c r="D88" s="1235"/>
      <c r="E88" s="1235"/>
      <c r="F88" s="1235"/>
      <c r="G88" s="1235"/>
      <c r="H88" s="1235"/>
      <c r="I88" s="1235"/>
      <c r="J88" s="1235"/>
      <c r="K88" s="1235"/>
    </row>
    <row r="89" spans="2:11" x14ac:dyDescent="0.25">
      <c r="B89" s="1236" t="s">
        <v>984</v>
      </c>
      <c r="C89" s="1237" t="s">
        <v>985</v>
      </c>
      <c r="D89" s="1237" t="s">
        <v>980</v>
      </c>
      <c r="E89" s="1238" t="s">
        <v>989</v>
      </c>
      <c r="F89" s="1238"/>
      <c r="G89" s="1239" t="s">
        <v>991</v>
      </c>
      <c r="H89" s="1239"/>
      <c r="I89" s="1240" t="s">
        <v>987</v>
      </c>
      <c r="J89" s="1239" t="s">
        <v>988</v>
      </c>
      <c r="K89" s="1239"/>
    </row>
    <row r="90" spans="2:11" x14ac:dyDescent="0.25">
      <c r="B90" s="1236"/>
      <c r="C90" s="1237"/>
      <c r="D90" s="1237"/>
      <c r="E90" s="1028" t="s">
        <v>605</v>
      </c>
      <c r="F90" s="1028" t="s">
        <v>990</v>
      </c>
      <c r="G90" s="1028" t="s">
        <v>605</v>
      </c>
      <c r="H90" s="1028" t="s">
        <v>990</v>
      </c>
      <c r="I90" s="1240"/>
      <c r="J90" s="1028" t="s">
        <v>605</v>
      </c>
      <c r="K90" s="1028" t="s">
        <v>990</v>
      </c>
    </row>
    <row r="91" spans="2:11" x14ac:dyDescent="0.25">
      <c r="B91" s="1027" t="s">
        <v>981</v>
      </c>
      <c r="C91" s="1027"/>
      <c r="D91" s="1021">
        <f>1/1000000</f>
        <v>9.9999999999999995E-7</v>
      </c>
      <c r="E91" s="1038">
        <f>E92</f>
        <v>18639347.72727273</v>
      </c>
      <c r="F91" s="1038">
        <f>F92</f>
        <v>31065579.545454554</v>
      </c>
      <c r="G91" s="1025"/>
      <c r="H91" s="1025"/>
      <c r="I91" s="1024"/>
      <c r="J91" s="1025"/>
      <c r="K91" s="1025"/>
    </row>
    <row r="92" spans="2:11" x14ac:dyDescent="0.25">
      <c r="B92" s="1030">
        <f>1/D92</f>
        <v>500</v>
      </c>
      <c r="C92" s="1029">
        <f>$I$14</f>
        <v>29200</v>
      </c>
      <c r="D92" s="1021">
        <f>INDEX($C$15:$I$15,MATCH(C92,$C$14:$I$14,0))</f>
        <v>2E-3</v>
      </c>
      <c r="E92" s="1038">
        <f>INDEX($C$41:$I$41,MATCH(C92,$C$31:$I$31,0))</f>
        <v>18639347.72727273</v>
      </c>
      <c r="F92" s="1038">
        <f>INDEX($C$24:$I$24,MATCH(C92,$C$14:$I$14,0))</f>
        <v>31065579.545454554</v>
      </c>
      <c r="G92" s="1025">
        <f>E92</f>
        <v>18639347.72727273</v>
      </c>
      <c r="H92" s="1025">
        <f>F92</f>
        <v>31065579.545454554</v>
      </c>
      <c r="I92" s="1026">
        <f>D92-D91</f>
        <v>1.9989999999999999E-3</v>
      </c>
      <c r="J92" s="1025">
        <f>G92*I92</f>
        <v>37260.056106818185</v>
      </c>
      <c r="K92" s="1025">
        <f>H92*I92</f>
        <v>62100.093511363651</v>
      </c>
    </row>
    <row r="93" spans="2:11" x14ac:dyDescent="0.25">
      <c r="B93" s="1085">
        <f t="shared" ref="B93:B98" si="40">1/D93</f>
        <v>384.61538461538464</v>
      </c>
      <c r="C93" s="1029">
        <f>$H$14</f>
        <v>26900</v>
      </c>
      <c r="D93" s="1021">
        <f t="shared" ref="D93:D98" si="41">INDEX($C$15:$I$15,MATCH(C93,$C$14:$I$14,0))</f>
        <v>2.5999999999999999E-3</v>
      </c>
      <c r="E93" s="1038">
        <f t="shared" ref="E93:E98" si="42">INDEX($C$41:$I$41,MATCH(C93,$C$31:$I$31,0))</f>
        <v>14911478.181818184</v>
      </c>
      <c r="F93" s="1038">
        <f>INDEX($C$24:$I$24,MATCH(C93,$C$14:$I$14,0))</f>
        <v>27337710.000000004</v>
      </c>
      <c r="G93" s="1025">
        <f>AVERAGE(E92:E93)</f>
        <v>16775412.954545457</v>
      </c>
      <c r="H93" s="1025">
        <f>AVERAGE(F92:F93)</f>
        <v>29201644.772727281</v>
      </c>
      <c r="I93" s="1026">
        <f>D93-D92</f>
        <v>5.9999999999999984E-4</v>
      </c>
      <c r="J93" s="1025">
        <f t="shared" ref="J93:J98" si="43">G93*I93</f>
        <v>10065.247772727271</v>
      </c>
      <c r="K93" s="1025">
        <f t="shared" ref="K93:K98" si="44">H93*I93</f>
        <v>17520.986863636364</v>
      </c>
    </row>
    <row r="94" spans="2:11" x14ac:dyDescent="0.25">
      <c r="B94" s="1030">
        <f t="shared" si="40"/>
        <v>200</v>
      </c>
      <c r="C94" s="1029">
        <f>$G$14</f>
        <v>20900</v>
      </c>
      <c r="D94" s="1021">
        <f t="shared" si="41"/>
        <v>5.0000000000000001E-3</v>
      </c>
      <c r="E94" s="1038">
        <f t="shared" si="42"/>
        <v>4970492.7272727275</v>
      </c>
      <c r="F94" s="1038">
        <f t="shared" ref="F94:F98" si="45">INDEX($C$24:$I$24,MATCH(C94,$C$14:$I$14,0))</f>
        <v>17396724.545454547</v>
      </c>
      <c r="G94" s="1025">
        <f>AVERAGE(E93:E94)</f>
        <v>9940985.4545454551</v>
      </c>
      <c r="H94" s="1025">
        <f>AVERAGE(F93:F94)</f>
        <v>22367217.272727273</v>
      </c>
      <c r="I94" s="1026">
        <f>D94-D93</f>
        <v>2.4000000000000002E-3</v>
      </c>
      <c r="J94" s="1025">
        <f t="shared" si="43"/>
        <v>23858.365090909094</v>
      </c>
      <c r="K94" s="1025">
        <f t="shared" si="44"/>
        <v>53681.321454545461</v>
      </c>
    </row>
    <row r="95" spans="2:11" x14ac:dyDescent="0.25">
      <c r="B95" s="1085">
        <f t="shared" si="40"/>
        <v>135.13513513513513</v>
      </c>
      <c r="C95" s="1029">
        <f>$F$14</f>
        <v>17300</v>
      </c>
      <c r="D95" s="1021">
        <f t="shared" si="41"/>
        <v>7.4000000000000003E-3</v>
      </c>
      <c r="E95" s="1038">
        <f t="shared" si="42"/>
        <v>0</v>
      </c>
      <c r="F95" s="1038">
        <f t="shared" si="45"/>
        <v>12426231.81818182</v>
      </c>
      <c r="G95" s="1025">
        <f>AVERAGE(E94:E95)</f>
        <v>2485246.3636363638</v>
      </c>
      <c r="H95" s="1025">
        <f t="shared" ref="H95" si="46">AVERAGE(F94:F95)</f>
        <v>14911478.181818184</v>
      </c>
      <c r="I95" s="1026">
        <f t="shared" ref="I95:I98" si="47">D95-D94</f>
        <v>2.4000000000000002E-3</v>
      </c>
      <c r="J95" s="1025">
        <f t="shared" si="43"/>
        <v>5964.5912727272735</v>
      </c>
      <c r="K95" s="1025">
        <f t="shared" si="44"/>
        <v>35787.547636363641</v>
      </c>
    </row>
    <row r="96" spans="2:11" x14ac:dyDescent="0.25">
      <c r="B96" s="1030">
        <f t="shared" si="40"/>
        <v>100</v>
      </c>
      <c r="C96" s="1029">
        <f>$E$14</f>
        <v>15650</v>
      </c>
      <c r="D96" s="1021">
        <f t="shared" si="41"/>
        <v>0.01</v>
      </c>
      <c r="E96" s="1038">
        <f t="shared" si="42"/>
        <v>0</v>
      </c>
      <c r="F96" s="1038">
        <f t="shared" si="45"/>
        <v>8698362.2727272734</v>
      </c>
      <c r="G96" s="1025">
        <f>AVERAGE(E95:E96)</f>
        <v>0</v>
      </c>
      <c r="H96" s="1025">
        <f>AVERAGE(F95:F96)</f>
        <v>10562297.045454547</v>
      </c>
      <c r="I96" s="1026">
        <f t="shared" si="47"/>
        <v>2.5999999999999999E-3</v>
      </c>
      <c r="J96" s="1025">
        <f t="shared" si="43"/>
        <v>0</v>
      </c>
      <c r="K96" s="1025">
        <f t="shared" si="44"/>
        <v>27461.972318181819</v>
      </c>
    </row>
    <row r="97" spans="2:11" x14ac:dyDescent="0.25">
      <c r="B97" s="1030">
        <f t="shared" si="40"/>
        <v>50</v>
      </c>
      <c r="C97" s="1029">
        <f>$D$14</f>
        <v>11150</v>
      </c>
      <c r="D97" s="1021">
        <f t="shared" si="41"/>
        <v>0.02</v>
      </c>
      <c r="E97" s="1038">
        <f t="shared" si="42"/>
        <v>0</v>
      </c>
      <c r="F97" s="1038">
        <f t="shared" si="45"/>
        <v>1242623.1818181821</v>
      </c>
      <c r="G97" s="1025">
        <f>AVERAGE(E96:E97)</f>
        <v>0</v>
      </c>
      <c r="H97" s="1025">
        <f t="shared" ref="H97:H98" si="48">AVERAGE(F96:F97)</f>
        <v>4970492.7272727275</v>
      </c>
      <c r="I97" s="1026">
        <f t="shared" si="47"/>
        <v>0.01</v>
      </c>
      <c r="J97" s="1025">
        <f t="shared" si="43"/>
        <v>0</v>
      </c>
      <c r="K97" s="1025">
        <f t="shared" si="44"/>
        <v>49704.927272727276</v>
      </c>
    </row>
    <row r="98" spans="2:11" x14ac:dyDescent="0.25">
      <c r="B98" s="1085">
        <f t="shared" si="40"/>
        <v>36.764705882352942</v>
      </c>
      <c r="C98" s="1029">
        <f>$C$14</f>
        <v>10000</v>
      </c>
      <c r="D98" s="1021">
        <f t="shared" si="41"/>
        <v>2.7199999999999998E-2</v>
      </c>
      <c r="E98" s="1038">
        <f t="shared" si="42"/>
        <v>0</v>
      </c>
      <c r="F98" s="1038">
        <f t="shared" si="45"/>
        <v>0</v>
      </c>
      <c r="G98" s="1025">
        <f>AVERAGE(E97:E98)</f>
        <v>0</v>
      </c>
      <c r="H98" s="1025">
        <f t="shared" si="48"/>
        <v>621311.59090909106</v>
      </c>
      <c r="I98" s="1026">
        <f t="shared" si="47"/>
        <v>7.1999999999999981E-3</v>
      </c>
      <c r="J98" s="1025">
        <f t="shared" si="43"/>
        <v>0</v>
      </c>
      <c r="K98" s="1025">
        <f t="shared" si="44"/>
        <v>4473.4434545454542</v>
      </c>
    </row>
    <row r="99" spans="2:11" x14ac:dyDescent="0.25">
      <c r="B99" s="660"/>
      <c r="C99" s="660"/>
      <c r="D99" s="660"/>
      <c r="E99" s="660"/>
      <c r="F99" s="660"/>
      <c r="G99" s="1022"/>
      <c r="H99" s="1022"/>
      <c r="I99" s="1032" t="s">
        <v>992</v>
      </c>
      <c r="J99" s="1036">
        <f>SUM(J92:J98)</f>
        <v>77148.260243181809</v>
      </c>
      <c r="K99" s="1036">
        <f>SUM(K92:K98)</f>
        <v>250730.29251136366</v>
      </c>
    </row>
    <row r="100" spans="2:11" x14ac:dyDescent="0.25">
      <c r="B100" s="661"/>
      <c r="C100" s="661"/>
      <c r="D100" s="1020"/>
      <c r="E100" s="1023"/>
      <c r="F100" s="1023"/>
      <c r="G100" s="660"/>
      <c r="H100" s="660"/>
      <c r="I100" s="1033" t="s">
        <v>982</v>
      </c>
      <c r="J100" s="1035">
        <f>K99-J99</f>
        <v>173582.03226818185</v>
      </c>
      <c r="K100" s="1037"/>
    </row>
    <row r="101" spans="2:11" x14ac:dyDescent="0.25">
      <c r="B101" t="s">
        <v>67</v>
      </c>
    </row>
    <row r="102" spans="2:11" x14ac:dyDescent="0.25">
      <c r="B102" t="s">
        <v>1004</v>
      </c>
    </row>
    <row r="103" spans="2:11" x14ac:dyDescent="0.25">
      <c r="B103" t="s">
        <v>1005</v>
      </c>
    </row>
    <row r="104" spans="2:11" x14ac:dyDescent="0.25">
      <c r="B104" t="s">
        <v>1085</v>
      </c>
    </row>
    <row r="105" spans="2:11" x14ac:dyDescent="0.25">
      <c r="B105" t="s">
        <v>1087</v>
      </c>
    </row>
  </sheetData>
  <mergeCells count="32">
    <mergeCell ref="B88:K88"/>
    <mergeCell ref="B89:B90"/>
    <mergeCell ref="C89:C90"/>
    <mergeCell ref="D89:D90"/>
    <mergeCell ref="E89:F89"/>
    <mergeCell ref="G89:H89"/>
    <mergeCell ref="I89:I90"/>
    <mergeCell ref="J89:K89"/>
    <mergeCell ref="B74:K74"/>
    <mergeCell ref="B75:B76"/>
    <mergeCell ref="C75:C76"/>
    <mergeCell ref="D75:D76"/>
    <mergeCell ref="E75:F75"/>
    <mergeCell ref="G75:H75"/>
    <mergeCell ref="I75:I76"/>
    <mergeCell ref="J75:K75"/>
    <mergeCell ref="B60:K60"/>
    <mergeCell ref="B61:B62"/>
    <mergeCell ref="C61:C62"/>
    <mergeCell ref="D61:D62"/>
    <mergeCell ref="E61:F61"/>
    <mergeCell ref="G61:H61"/>
    <mergeCell ref="I61:I62"/>
    <mergeCell ref="J61:K61"/>
    <mergeCell ref="B46:K46"/>
    <mergeCell ref="J47:K47"/>
    <mergeCell ref="E47:F47"/>
    <mergeCell ref="G47:H47"/>
    <mergeCell ref="D47:D48"/>
    <mergeCell ref="C47:C48"/>
    <mergeCell ref="B47:B48"/>
    <mergeCell ref="I47:I48"/>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AM21"/>
  <sheetViews>
    <sheetView workbookViewId="0">
      <pane xSplit="3" ySplit="4" topLeftCell="D5" activePane="bottomRight" state="frozen"/>
      <selection activeCell="D38" sqref="D38"/>
      <selection pane="topRight" activeCell="D38" sqref="D38"/>
      <selection pane="bottomLeft" activeCell="D38" sqref="D38"/>
      <selection pane="bottomRight"/>
    </sheetView>
  </sheetViews>
  <sheetFormatPr defaultRowHeight="14.4" x14ac:dyDescent="0.25"/>
  <cols>
    <col min="1" max="1" width="1.77734375" customWidth="1"/>
    <col min="2" max="2" width="44.77734375" bestFit="1" customWidth="1"/>
    <col min="3" max="3" width="14.44140625" bestFit="1" customWidth="1"/>
    <col min="4" max="4" width="9.88671875" bestFit="1" customWidth="1"/>
    <col min="5" max="5" width="10.109375" customWidth="1"/>
    <col min="6" max="6" width="10.44140625" customWidth="1"/>
    <col min="7" max="8" width="10.88671875" bestFit="1" customWidth="1"/>
  </cols>
  <sheetData>
    <row r="1" spans="2:39" ht="10" customHeight="1" x14ac:dyDescent="0.25"/>
    <row r="2" spans="2:39" ht="17.7" x14ac:dyDescent="0.3">
      <c r="B2" s="641" t="s">
        <v>548</v>
      </c>
    </row>
    <row r="3" spans="2:39" x14ac:dyDescent="0.25">
      <c r="C3" s="645" t="s">
        <v>544</v>
      </c>
    </row>
    <row r="4" spans="2:39" x14ac:dyDescent="0.25">
      <c r="C4" s="648">
        <f>Assumptions!$D$10</f>
        <v>2018</v>
      </c>
      <c r="D4" s="672">
        <v>2019</v>
      </c>
      <c r="E4" s="672">
        <f>D4+1</f>
        <v>2020</v>
      </c>
      <c r="F4" s="672">
        <f t="shared" ref="F4:J4" si="0">E4+1</f>
        <v>2021</v>
      </c>
      <c r="G4" s="672">
        <f t="shared" si="0"/>
        <v>2022</v>
      </c>
      <c r="H4" s="672">
        <f t="shared" si="0"/>
        <v>2023</v>
      </c>
      <c r="I4" s="672">
        <f t="shared" si="0"/>
        <v>2024</v>
      </c>
      <c r="J4" s="672">
        <f t="shared" si="0"/>
        <v>2025</v>
      </c>
      <c r="K4" s="672">
        <f t="shared" ref="K4" si="1">J4+1</f>
        <v>2026</v>
      </c>
      <c r="L4" s="672">
        <f t="shared" ref="L4" si="2">K4+1</f>
        <v>2027</v>
      </c>
      <c r="M4" s="672">
        <f t="shared" ref="M4" si="3">L4+1</f>
        <v>2028</v>
      </c>
      <c r="N4" s="672">
        <f t="shared" ref="N4" si="4">M4+1</f>
        <v>2029</v>
      </c>
      <c r="O4" s="672">
        <f t="shared" ref="O4" si="5">N4+1</f>
        <v>2030</v>
      </c>
      <c r="P4" s="672">
        <f t="shared" ref="P4" si="6">O4+1</f>
        <v>2031</v>
      </c>
      <c r="Q4" s="672">
        <f t="shared" ref="Q4" si="7">P4+1</f>
        <v>2032</v>
      </c>
      <c r="R4" s="672">
        <f t="shared" ref="R4" si="8">Q4+1</f>
        <v>2033</v>
      </c>
      <c r="S4" s="672">
        <f t="shared" ref="S4" si="9">R4+1</f>
        <v>2034</v>
      </c>
      <c r="T4" s="672">
        <f t="shared" ref="T4" si="10">S4+1</f>
        <v>2035</v>
      </c>
      <c r="U4" s="672">
        <f t="shared" ref="U4" si="11">T4+1</f>
        <v>2036</v>
      </c>
      <c r="V4" s="672">
        <f t="shared" ref="V4" si="12">U4+1</f>
        <v>2037</v>
      </c>
      <c r="W4" s="672">
        <f t="shared" ref="W4" si="13">V4+1</f>
        <v>2038</v>
      </c>
      <c r="X4" s="672">
        <f t="shared" ref="X4" si="14">W4+1</f>
        <v>2039</v>
      </c>
      <c r="Y4" s="672">
        <f t="shared" ref="Y4" si="15">X4+1</f>
        <v>2040</v>
      </c>
      <c r="Z4" s="672">
        <f t="shared" ref="Z4" si="16">Y4+1</f>
        <v>2041</v>
      </c>
      <c r="AA4" s="672">
        <f t="shared" ref="AA4" si="17">Z4+1</f>
        <v>2042</v>
      </c>
      <c r="AB4" s="672">
        <f t="shared" ref="AB4" si="18">AA4+1</f>
        <v>2043</v>
      </c>
      <c r="AC4" s="672">
        <f t="shared" ref="AC4" si="19">AB4+1</f>
        <v>2044</v>
      </c>
      <c r="AD4" s="672">
        <f t="shared" ref="AD4" si="20">AC4+1</f>
        <v>2045</v>
      </c>
      <c r="AE4" s="672">
        <f t="shared" ref="AE4" si="21">AD4+1</f>
        <v>2046</v>
      </c>
      <c r="AF4" s="672">
        <f t="shared" ref="AF4" si="22">AE4+1</f>
        <v>2047</v>
      </c>
      <c r="AG4" s="672">
        <f t="shared" ref="AG4" si="23">AF4+1</f>
        <v>2048</v>
      </c>
      <c r="AH4" s="672">
        <f t="shared" ref="AH4" si="24">AG4+1</f>
        <v>2049</v>
      </c>
      <c r="AI4" s="672">
        <f t="shared" ref="AI4" si="25">AH4+1</f>
        <v>2050</v>
      </c>
      <c r="AJ4" s="672">
        <f t="shared" ref="AJ4" si="26">AI4+1</f>
        <v>2051</v>
      </c>
      <c r="AK4" s="672">
        <f t="shared" ref="AK4" si="27">AJ4+1</f>
        <v>2052</v>
      </c>
      <c r="AL4" s="672">
        <f t="shared" ref="AL4" si="28">AK4+1</f>
        <v>2053</v>
      </c>
      <c r="AM4" s="672">
        <f t="shared" ref="AM4" si="29">AL4+1</f>
        <v>2054</v>
      </c>
    </row>
    <row r="5" spans="2:39" x14ac:dyDescent="0.25">
      <c r="D5" s="675"/>
      <c r="E5" s="675"/>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c r="AG5" s="675"/>
      <c r="AH5" s="675"/>
      <c r="AI5" s="675"/>
      <c r="AJ5" s="675"/>
      <c r="AK5" s="675"/>
      <c r="AL5" s="675"/>
      <c r="AM5" s="675"/>
    </row>
    <row r="6" spans="2:39" x14ac:dyDescent="0.25">
      <c r="B6" s="659" t="s">
        <v>1040</v>
      </c>
      <c r="C6" s="653" t="s">
        <v>393</v>
      </c>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row>
    <row r="7" spans="2:39" x14ac:dyDescent="0.25">
      <c r="B7" s="644" t="s">
        <v>1142</v>
      </c>
      <c r="C7" s="906">
        <f t="shared" ref="C7:C11" si="30">SUM(D7:J7)</f>
        <v>25780000</v>
      </c>
      <c r="D7" s="907"/>
      <c r="E7" s="907">
        <v>2600000</v>
      </c>
      <c r="F7" s="907">
        <v>17385000</v>
      </c>
      <c r="G7" s="907"/>
      <c r="H7" s="907"/>
      <c r="I7" s="907">
        <v>5795000</v>
      </c>
      <c r="J7" s="907"/>
      <c r="K7" s="907"/>
      <c r="L7" s="907"/>
      <c r="M7" s="907"/>
      <c r="N7" s="907"/>
      <c r="O7" s="907"/>
      <c r="P7" s="907"/>
      <c r="Q7" s="907"/>
      <c r="R7" s="907"/>
      <c r="S7" s="907"/>
      <c r="T7" s="907"/>
      <c r="U7" s="907"/>
      <c r="V7" s="907"/>
      <c r="W7" s="907"/>
      <c r="X7" s="907"/>
      <c r="Y7" s="907"/>
      <c r="Z7" s="907"/>
      <c r="AA7" s="907"/>
      <c r="AB7" s="907"/>
      <c r="AC7" s="907"/>
      <c r="AD7" s="907"/>
      <c r="AE7" s="907"/>
      <c r="AF7" s="907"/>
      <c r="AG7" s="907"/>
      <c r="AH7" s="907"/>
      <c r="AI7" s="907"/>
      <c r="AJ7" s="907"/>
      <c r="AK7" s="907"/>
      <c r="AL7" s="907"/>
      <c r="AM7" s="907"/>
    </row>
    <row r="8" spans="2:39" x14ac:dyDescent="0.25">
      <c r="B8" s="644" t="s">
        <v>1090</v>
      </c>
      <c r="C8" s="906">
        <f t="shared" si="30"/>
        <v>1350000</v>
      </c>
      <c r="D8" s="907"/>
      <c r="E8" s="907">
        <v>140000</v>
      </c>
      <c r="F8" s="907"/>
      <c r="G8" s="907">
        <v>907500</v>
      </c>
      <c r="H8" s="907"/>
      <c r="I8" s="907">
        <v>302500</v>
      </c>
      <c r="J8" s="907"/>
      <c r="K8" s="907"/>
      <c r="L8" s="907"/>
      <c r="M8" s="907"/>
      <c r="N8" s="907"/>
      <c r="O8" s="907"/>
      <c r="P8" s="907"/>
      <c r="Q8" s="907"/>
      <c r="R8" s="907"/>
      <c r="S8" s="907"/>
      <c r="T8" s="907"/>
      <c r="U8" s="907"/>
      <c r="V8" s="907"/>
      <c r="W8" s="907"/>
      <c r="X8" s="907"/>
      <c r="Y8" s="907"/>
      <c r="Z8" s="907"/>
      <c r="AA8" s="907"/>
      <c r="AB8" s="907"/>
      <c r="AC8" s="907"/>
      <c r="AD8" s="907"/>
      <c r="AE8" s="907"/>
      <c r="AF8" s="907"/>
      <c r="AG8" s="907"/>
      <c r="AH8" s="907"/>
      <c r="AI8" s="907"/>
      <c r="AJ8" s="907"/>
      <c r="AK8" s="907"/>
      <c r="AL8" s="907"/>
      <c r="AM8" s="907"/>
    </row>
    <row r="9" spans="2:39" x14ac:dyDescent="0.25">
      <c r="B9" s="644" t="s">
        <v>1020</v>
      </c>
      <c r="C9" s="906">
        <f t="shared" si="30"/>
        <v>10030000</v>
      </c>
      <c r="D9" s="907"/>
      <c r="E9" s="907">
        <v>1010000</v>
      </c>
      <c r="F9" s="907"/>
      <c r="G9" s="907">
        <v>4510000</v>
      </c>
      <c r="H9" s="907">
        <v>4510000</v>
      </c>
      <c r="I9" s="907"/>
      <c r="J9" s="907"/>
      <c r="K9" s="907"/>
      <c r="L9" s="907"/>
      <c r="M9" s="907"/>
      <c r="N9" s="907"/>
      <c r="O9" s="907"/>
      <c r="P9" s="907"/>
      <c r="Q9" s="907"/>
      <c r="R9" s="907"/>
      <c r="S9" s="907"/>
      <c r="T9" s="907"/>
      <c r="U9" s="907"/>
      <c r="V9" s="907"/>
      <c r="W9" s="907"/>
      <c r="X9" s="907"/>
      <c r="Y9" s="907"/>
      <c r="Z9" s="907"/>
      <c r="AA9" s="907"/>
      <c r="AB9" s="907"/>
      <c r="AC9" s="907"/>
      <c r="AD9" s="907"/>
      <c r="AE9" s="907"/>
      <c r="AF9" s="907"/>
      <c r="AG9" s="907"/>
      <c r="AH9" s="907"/>
      <c r="AI9" s="907"/>
      <c r="AJ9" s="907"/>
      <c r="AK9" s="907"/>
      <c r="AL9" s="907"/>
      <c r="AM9" s="907"/>
    </row>
    <row r="10" spans="2:39" x14ac:dyDescent="0.25">
      <c r="B10" s="644" t="s">
        <v>1021</v>
      </c>
      <c r="C10" s="906">
        <f t="shared" si="30"/>
        <v>38600000</v>
      </c>
      <c r="D10" s="907"/>
      <c r="E10" s="907">
        <v>3860000</v>
      </c>
      <c r="F10" s="907"/>
      <c r="G10" s="907">
        <v>17370000</v>
      </c>
      <c r="H10" s="907">
        <v>17370000</v>
      </c>
      <c r="I10" s="907"/>
      <c r="J10" s="907"/>
      <c r="K10" s="907"/>
      <c r="L10" s="907"/>
      <c r="M10" s="907"/>
      <c r="N10" s="907"/>
      <c r="O10" s="907"/>
      <c r="P10" s="907"/>
      <c r="Q10" s="907"/>
      <c r="R10" s="907"/>
      <c r="S10" s="907"/>
      <c r="T10" s="907"/>
      <c r="U10" s="907"/>
      <c r="V10" s="907"/>
      <c r="W10" s="907"/>
      <c r="X10" s="907"/>
      <c r="Y10" s="907"/>
      <c r="Z10" s="907"/>
      <c r="AA10" s="907"/>
      <c r="AB10" s="907"/>
      <c r="AC10" s="907"/>
      <c r="AD10" s="907"/>
      <c r="AE10" s="907"/>
      <c r="AF10" s="907"/>
      <c r="AG10" s="907"/>
      <c r="AH10" s="907"/>
      <c r="AI10" s="907"/>
      <c r="AJ10" s="907"/>
      <c r="AK10" s="907"/>
      <c r="AL10" s="907"/>
      <c r="AM10" s="907"/>
    </row>
    <row r="11" spans="2:39" x14ac:dyDescent="0.25">
      <c r="B11" s="640" t="s">
        <v>681</v>
      </c>
      <c r="C11" s="908">
        <f t="shared" si="30"/>
        <v>75760000</v>
      </c>
      <c r="D11" s="910">
        <f t="shared" ref="D11:AM11" si="31">SUM(D7:D10)*$C$20</f>
        <v>0</v>
      </c>
      <c r="E11" s="910">
        <f t="shared" si="31"/>
        <v>7610000</v>
      </c>
      <c r="F11" s="910">
        <f t="shared" si="31"/>
        <v>17385000</v>
      </c>
      <c r="G11" s="910">
        <f t="shared" si="31"/>
        <v>22787500</v>
      </c>
      <c r="H11" s="910">
        <f t="shared" si="31"/>
        <v>21880000</v>
      </c>
      <c r="I11" s="910">
        <f t="shared" si="31"/>
        <v>6097500</v>
      </c>
      <c r="J11" s="910">
        <f t="shared" si="31"/>
        <v>0</v>
      </c>
      <c r="K11" s="910">
        <f t="shared" si="31"/>
        <v>0</v>
      </c>
      <c r="L11" s="910">
        <f t="shared" si="31"/>
        <v>0</v>
      </c>
      <c r="M11" s="910">
        <f t="shared" si="31"/>
        <v>0</v>
      </c>
      <c r="N11" s="910">
        <f t="shared" si="31"/>
        <v>0</v>
      </c>
      <c r="O11" s="910">
        <f t="shared" si="31"/>
        <v>0</v>
      </c>
      <c r="P11" s="910">
        <f t="shared" si="31"/>
        <v>0</v>
      </c>
      <c r="Q11" s="910">
        <f t="shared" si="31"/>
        <v>0</v>
      </c>
      <c r="R11" s="910">
        <f t="shared" si="31"/>
        <v>0</v>
      </c>
      <c r="S11" s="910">
        <f t="shared" si="31"/>
        <v>0</v>
      </c>
      <c r="T11" s="910">
        <f t="shared" si="31"/>
        <v>0</v>
      </c>
      <c r="U11" s="910">
        <f t="shared" si="31"/>
        <v>0</v>
      </c>
      <c r="V11" s="910">
        <f t="shared" si="31"/>
        <v>0</v>
      </c>
      <c r="W11" s="910">
        <f t="shared" si="31"/>
        <v>0</v>
      </c>
      <c r="X11" s="910">
        <f t="shared" si="31"/>
        <v>0</v>
      </c>
      <c r="Y11" s="910">
        <f t="shared" si="31"/>
        <v>0</v>
      </c>
      <c r="Z11" s="910">
        <f t="shared" si="31"/>
        <v>0</v>
      </c>
      <c r="AA11" s="910">
        <f t="shared" si="31"/>
        <v>0</v>
      </c>
      <c r="AB11" s="910">
        <f t="shared" si="31"/>
        <v>0</v>
      </c>
      <c r="AC11" s="910">
        <f t="shared" si="31"/>
        <v>0</v>
      </c>
      <c r="AD11" s="910">
        <f t="shared" si="31"/>
        <v>0</v>
      </c>
      <c r="AE11" s="910">
        <f t="shared" si="31"/>
        <v>0</v>
      </c>
      <c r="AF11" s="910">
        <f t="shared" si="31"/>
        <v>0</v>
      </c>
      <c r="AG11" s="910">
        <f t="shared" si="31"/>
        <v>0</v>
      </c>
      <c r="AH11" s="910">
        <f t="shared" si="31"/>
        <v>0</v>
      </c>
      <c r="AI11" s="910">
        <f t="shared" si="31"/>
        <v>0</v>
      </c>
      <c r="AJ11" s="910">
        <f t="shared" si="31"/>
        <v>0</v>
      </c>
      <c r="AK11" s="910">
        <f t="shared" si="31"/>
        <v>0</v>
      </c>
      <c r="AL11" s="910">
        <f t="shared" si="31"/>
        <v>0</v>
      </c>
      <c r="AM11" s="910">
        <f t="shared" si="31"/>
        <v>0</v>
      </c>
    </row>
    <row r="12" spans="2:39" x14ac:dyDescent="0.25">
      <c r="B12" s="640"/>
      <c r="C12" s="908"/>
      <c r="D12" s="910"/>
      <c r="E12" s="910"/>
      <c r="F12" s="910"/>
      <c r="G12" s="910"/>
      <c r="H12" s="910"/>
      <c r="I12" s="910"/>
      <c r="J12" s="910"/>
      <c r="K12" s="910"/>
      <c r="L12" s="910"/>
      <c r="M12" s="910"/>
      <c r="N12" s="910"/>
      <c r="O12" s="910"/>
      <c r="P12" s="910"/>
      <c r="Q12" s="910"/>
      <c r="R12" s="910"/>
      <c r="S12" s="910"/>
      <c r="T12" s="910"/>
      <c r="U12" s="910"/>
      <c r="V12" s="910"/>
      <c r="W12" s="910"/>
      <c r="X12" s="910"/>
      <c r="Y12" s="910"/>
      <c r="Z12" s="910"/>
      <c r="AA12" s="910"/>
      <c r="AB12" s="910"/>
      <c r="AC12" s="910"/>
      <c r="AD12" s="910"/>
      <c r="AE12" s="910"/>
      <c r="AF12" s="910"/>
      <c r="AG12" s="910"/>
      <c r="AH12" s="910"/>
      <c r="AI12" s="910"/>
      <c r="AJ12" s="910"/>
      <c r="AK12" s="910"/>
      <c r="AL12" s="910"/>
      <c r="AM12" s="910"/>
    </row>
    <row r="13" spans="2:39" x14ac:dyDescent="0.25">
      <c r="B13" s="640" t="s">
        <v>851</v>
      </c>
      <c r="C13" s="653" t="s">
        <v>393</v>
      </c>
      <c r="D13" s="675"/>
      <c r="E13" s="675"/>
      <c r="F13" s="675"/>
      <c r="G13" s="675"/>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row>
    <row r="14" spans="2:39" x14ac:dyDescent="0.25">
      <c r="B14" s="644" t="s">
        <v>1142</v>
      </c>
      <c r="C14" s="908">
        <f t="shared" ref="C14:C18" si="32">SUM(D14:J14)</f>
        <v>24997047.563440382</v>
      </c>
      <c r="D14" s="909">
        <f>D7/'Price Deflator'!$I$6</f>
        <v>0</v>
      </c>
      <c r="E14" s="909">
        <f>E7/'Price Deflator'!$I$6</f>
        <v>2521036.6045362679</v>
      </c>
      <c r="F14" s="909">
        <f>F7/'Price Deflator'!$I$6</f>
        <v>16857008.219178084</v>
      </c>
      <c r="G14" s="909">
        <f>G7/'Price Deflator'!$I$6</f>
        <v>0</v>
      </c>
      <c r="H14" s="909">
        <f>H7/'Price Deflator'!$I$6</f>
        <v>0</v>
      </c>
      <c r="I14" s="909">
        <f>I7/'Price Deflator'!$I$6</f>
        <v>5619002.7397260275</v>
      </c>
      <c r="J14" s="909">
        <f>J7/'Price Deflator'!$I$6</f>
        <v>0</v>
      </c>
      <c r="K14" s="909">
        <f>K7/'Price Deflator'!$I$6</f>
        <v>0</v>
      </c>
      <c r="L14" s="909">
        <f>L7/'Price Deflator'!$I$6</f>
        <v>0</v>
      </c>
      <c r="M14" s="909">
        <f>M7/'Price Deflator'!$I$6</f>
        <v>0</v>
      </c>
      <c r="N14" s="909">
        <f>N7/'Price Deflator'!$I$6</f>
        <v>0</v>
      </c>
      <c r="O14" s="909">
        <f>O7/'Price Deflator'!$I$6</f>
        <v>0</v>
      </c>
      <c r="P14" s="909">
        <f>P7/'Price Deflator'!$I$6</f>
        <v>0</v>
      </c>
      <c r="Q14" s="909">
        <f>Q7/'Price Deflator'!$I$6</f>
        <v>0</v>
      </c>
      <c r="R14" s="909">
        <f>R7/'Price Deflator'!$I$6</f>
        <v>0</v>
      </c>
      <c r="S14" s="909">
        <f>S7/'Price Deflator'!$I$6</f>
        <v>0</v>
      </c>
      <c r="T14" s="909">
        <f>T7/'Price Deflator'!$I$6</f>
        <v>0</v>
      </c>
      <c r="U14" s="909">
        <f>U7/'Price Deflator'!$I$6</f>
        <v>0</v>
      </c>
      <c r="V14" s="909">
        <f>V7/'Price Deflator'!$I$6</f>
        <v>0</v>
      </c>
      <c r="W14" s="909">
        <f>W7/'Price Deflator'!$I$6</f>
        <v>0</v>
      </c>
      <c r="X14" s="909">
        <f>X7/'Price Deflator'!$I$6</f>
        <v>0</v>
      </c>
      <c r="Y14" s="909">
        <f>Y7/'Price Deflator'!$I$6</f>
        <v>0</v>
      </c>
      <c r="Z14" s="909">
        <f>Z7/'Price Deflator'!$I$6</f>
        <v>0</v>
      </c>
      <c r="AA14" s="909">
        <f>AA7/'Price Deflator'!$I$6</f>
        <v>0</v>
      </c>
      <c r="AB14" s="909">
        <f>AB7/'Price Deflator'!$I$6</f>
        <v>0</v>
      </c>
      <c r="AC14" s="909">
        <f>AC7/'Price Deflator'!$I$6</f>
        <v>0</v>
      </c>
      <c r="AD14" s="909">
        <f>AD7/'Price Deflator'!$I$6</f>
        <v>0</v>
      </c>
      <c r="AE14" s="909">
        <f>AE7/'Price Deflator'!$I$6</f>
        <v>0</v>
      </c>
      <c r="AF14" s="909">
        <f>AF7/'Price Deflator'!$I$6</f>
        <v>0</v>
      </c>
      <c r="AG14" s="909">
        <f>AG7/'Price Deflator'!$I$6</f>
        <v>0</v>
      </c>
      <c r="AH14" s="909">
        <f>AH7/'Price Deflator'!$I$6</f>
        <v>0</v>
      </c>
      <c r="AI14" s="909">
        <f>AI7/'Price Deflator'!$I$6</f>
        <v>0</v>
      </c>
      <c r="AJ14" s="909">
        <f>AJ7/'Price Deflator'!$I$6</f>
        <v>0</v>
      </c>
      <c r="AK14" s="909">
        <f>AK7/'Price Deflator'!$I$6</f>
        <v>0</v>
      </c>
      <c r="AL14" s="909">
        <f>AL7/'Price Deflator'!$I$6</f>
        <v>0</v>
      </c>
      <c r="AM14" s="909">
        <f>AM7/'Price Deflator'!$I$6</f>
        <v>0</v>
      </c>
    </row>
    <row r="15" spans="2:39" x14ac:dyDescent="0.25">
      <c r="B15" s="644" t="s">
        <v>1090</v>
      </c>
      <c r="C15" s="908">
        <f t="shared" si="32"/>
        <v>1308999.7754322928</v>
      </c>
      <c r="D15" s="909">
        <f>D8/'Price Deflator'!$I$6</f>
        <v>0</v>
      </c>
      <c r="E15" s="909">
        <f>E8/'Price Deflator'!$I$6</f>
        <v>135748.12485964518</v>
      </c>
      <c r="F15" s="909">
        <f>F8/'Price Deflator'!$I$6</f>
        <v>0</v>
      </c>
      <c r="G15" s="909">
        <f>G8/'Price Deflator'!$I$6</f>
        <v>879938.73792948574</v>
      </c>
      <c r="H15" s="909">
        <f>H8/'Price Deflator'!$I$6</f>
        <v>0</v>
      </c>
      <c r="I15" s="909">
        <f>I8/'Price Deflator'!$I$6</f>
        <v>293312.91264316189</v>
      </c>
      <c r="J15" s="909">
        <f>J8/'Price Deflator'!$I$6</f>
        <v>0</v>
      </c>
      <c r="K15" s="909">
        <f>K8/'Price Deflator'!$I$6</f>
        <v>0</v>
      </c>
      <c r="L15" s="909">
        <f>L8/'Price Deflator'!$I$6</f>
        <v>0</v>
      </c>
      <c r="M15" s="909">
        <f>M8/'Price Deflator'!$I$6</f>
        <v>0</v>
      </c>
      <c r="N15" s="909">
        <f>N8/'Price Deflator'!$I$6</f>
        <v>0</v>
      </c>
      <c r="O15" s="909">
        <f>O8/'Price Deflator'!$I$6</f>
        <v>0</v>
      </c>
      <c r="P15" s="909">
        <f>P8/'Price Deflator'!$I$6</f>
        <v>0</v>
      </c>
      <c r="Q15" s="909">
        <f>Q8/'Price Deflator'!$I$6</f>
        <v>0</v>
      </c>
      <c r="R15" s="909">
        <f>R8/'Price Deflator'!$I$6</f>
        <v>0</v>
      </c>
      <c r="S15" s="909">
        <f>S8/'Price Deflator'!$I$6</f>
        <v>0</v>
      </c>
      <c r="T15" s="909">
        <f>T8/'Price Deflator'!$I$6</f>
        <v>0</v>
      </c>
      <c r="U15" s="909">
        <f>U8/'Price Deflator'!$I$6</f>
        <v>0</v>
      </c>
      <c r="V15" s="909">
        <f>V8/'Price Deflator'!$I$6</f>
        <v>0</v>
      </c>
      <c r="W15" s="909">
        <f>W8/'Price Deflator'!$I$6</f>
        <v>0</v>
      </c>
      <c r="X15" s="909">
        <f>X8/'Price Deflator'!$I$6</f>
        <v>0</v>
      </c>
      <c r="Y15" s="909">
        <f>Y8/'Price Deflator'!$I$6</f>
        <v>0</v>
      </c>
      <c r="Z15" s="909">
        <f>Z8/'Price Deflator'!$I$6</f>
        <v>0</v>
      </c>
      <c r="AA15" s="909">
        <f>AA8/'Price Deflator'!$I$6</f>
        <v>0</v>
      </c>
      <c r="AB15" s="909">
        <f>AB8/'Price Deflator'!$I$6</f>
        <v>0</v>
      </c>
      <c r="AC15" s="909">
        <f>AC8/'Price Deflator'!$I$6</f>
        <v>0</v>
      </c>
      <c r="AD15" s="909">
        <f>AD8/'Price Deflator'!$I$6</f>
        <v>0</v>
      </c>
      <c r="AE15" s="909">
        <f>AE8/'Price Deflator'!$I$6</f>
        <v>0</v>
      </c>
      <c r="AF15" s="909">
        <f>AF8/'Price Deflator'!$I$6</f>
        <v>0</v>
      </c>
      <c r="AG15" s="909">
        <f>AG8/'Price Deflator'!$I$6</f>
        <v>0</v>
      </c>
      <c r="AH15" s="909">
        <f>AH8/'Price Deflator'!$I$6</f>
        <v>0</v>
      </c>
      <c r="AI15" s="909">
        <f>AI8/'Price Deflator'!$I$6</f>
        <v>0</v>
      </c>
      <c r="AJ15" s="909">
        <f>AJ8/'Price Deflator'!$I$6</f>
        <v>0</v>
      </c>
      <c r="AK15" s="909">
        <f>AK8/'Price Deflator'!$I$6</f>
        <v>0</v>
      </c>
      <c r="AL15" s="909">
        <f>AL8/'Price Deflator'!$I$6</f>
        <v>0</v>
      </c>
      <c r="AM15" s="909">
        <f>AM8/'Price Deflator'!$I$6</f>
        <v>0</v>
      </c>
    </row>
    <row r="16" spans="2:39" x14ac:dyDescent="0.25">
      <c r="B16" s="644" t="s">
        <v>1020</v>
      </c>
      <c r="C16" s="908">
        <f t="shared" si="32"/>
        <v>9725383.5167302936</v>
      </c>
      <c r="D16" s="909">
        <f>D9/'Price Deflator'!$I$6</f>
        <v>0</v>
      </c>
      <c r="E16" s="909">
        <f>E9/'Price Deflator'!$I$6</f>
        <v>979325.75791601173</v>
      </c>
      <c r="F16" s="909">
        <f>F9/'Price Deflator'!$I$6</f>
        <v>0</v>
      </c>
      <c r="G16" s="909">
        <f>G9/'Price Deflator'!$I$6</f>
        <v>4373028.8794071414</v>
      </c>
      <c r="H16" s="909">
        <f>H9/'Price Deflator'!$I$6</f>
        <v>4373028.8794071414</v>
      </c>
      <c r="I16" s="909">
        <f>I9/'Price Deflator'!$I$6</f>
        <v>0</v>
      </c>
      <c r="J16" s="909">
        <f>J9/'Price Deflator'!$I$6</f>
        <v>0</v>
      </c>
      <c r="K16" s="909">
        <f>K9/'Price Deflator'!$I$6</f>
        <v>0</v>
      </c>
      <c r="L16" s="909">
        <f>L9/'Price Deflator'!$I$6</f>
        <v>0</v>
      </c>
      <c r="M16" s="909">
        <f>M9/'Price Deflator'!$I$6</f>
        <v>0</v>
      </c>
      <c r="N16" s="909">
        <f>N9/'Price Deflator'!$I$6</f>
        <v>0</v>
      </c>
      <c r="O16" s="909">
        <f>O9/'Price Deflator'!$I$6</f>
        <v>0</v>
      </c>
      <c r="P16" s="909">
        <f>P9/'Price Deflator'!$I$6</f>
        <v>0</v>
      </c>
      <c r="Q16" s="909">
        <f>Q9/'Price Deflator'!$I$6</f>
        <v>0</v>
      </c>
      <c r="R16" s="909">
        <f>R9/'Price Deflator'!$I$6</f>
        <v>0</v>
      </c>
      <c r="S16" s="909">
        <f>S9/'Price Deflator'!$I$6</f>
        <v>0</v>
      </c>
      <c r="T16" s="909">
        <f>T9/'Price Deflator'!$I$6</f>
        <v>0</v>
      </c>
      <c r="U16" s="909">
        <f>U9/'Price Deflator'!$I$6</f>
        <v>0</v>
      </c>
      <c r="V16" s="909">
        <f>V9/'Price Deflator'!$I$6</f>
        <v>0</v>
      </c>
      <c r="W16" s="909">
        <f>W9/'Price Deflator'!$I$6</f>
        <v>0</v>
      </c>
      <c r="X16" s="909">
        <f>X9/'Price Deflator'!$I$6</f>
        <v>0</v>
      </c>
      <c r="Y16" s="909">
        <f>Y9/'Price Deflator'!$I$6</f>
        <v>0</v>
      </c>
      <c r="Z16" s="909">
        <f>Z9/'Price Deflator'!$I$6</f>
        <v>0</v>
      </c>
      <c r="AA16" s="909">
        <f>AA9/'Price Deflator'!$I$6</f>
        <v>0</v>
      </c>
      <c r="AB16" s="909">
        <f>AB9/'Price Deflator'!$I$6</f>
        <v>0</v>
      </c>
      <c r="AC16" s="909">
        <f>AC9/'Price Deflator'!$I$6</f>
        <v>0</v>
      </c>
      <c r="AD16" s="909">
        <f>AD9/'Price Deflator'!$I$6</f>
        <v>0</v>
      </c>
      <c r="AE16" s="909">
        <f>AE9/'Price Deflator'!$I$6</f>
        <v>0</v>
      </c>
      <c r="AF16" s="909">
        <f>AF9/'Price Deflator'!$I$6</f>
        <v>0</v>
      </c>
      <c r="AG16" s="909">
        <f>AG9/'Price Deflator'!$I$6</f>
        <v>0</v>
      </c>
      <c r="AH16" s="909">
        <f>AH9/'Price Deflator'!$I$6</f>
        <v>0</v>
      </c>
      <c r="AI16" s="909">
        <f>AI9/'Price Deflator'!$I$6</f>
        <v>0</v>
      </c>
      <c r="AJ16" s="909">
        <f>AJ9/'Price Deflator'!$I$6</f>
        <v>0</v>
      </c>
      <c r="AK16" s="909">
        <f>AK9/'Price Deflator'!$I$6</f>
        <v>0</v>
      </c>
      <c r="AL16" s="909">
        <f>AL9/'Price Deflator'!$I$6</f>
        <v>0</v>
      </c>
      <c r="AM16" s="909">
        <f>AM9/'Price Deflator'!$I$6</f>
        <v>0</v>
      </c>
    </row>
    <row r="17" spans="2:39" x14ac:dyDescent="0.25">
      <c r="B17" s="644" t="s">
        <v>1021</v>
      </c>
      <c r="C17" s="908">
        <f t="shared" si="32"/>
        <v>37427697.282730743</v>
      </c>
      <c r="D17" s="909">
        <f>D10/'Price Deflator'!$I$6</f>
        <v>0</v>
      </c>
      <c r="E17" s="909">
        <f>E10/'Price Deflator'!$I$6</f>
        <v>3742769.7282730746</v>
      </c>
      <c r="F17" s="909">
        <f>F10/'Price Deflator'!$I$6</f>
        <v>0</v>
      </c>
      <c r="G17" s="909">
        <f>G10/'Price Deflator'!$I$6</f>
        <v>16842463.777228836</v>
      </c>
      <c r="H17" s="909">
        <f>H10/'Price Deflator'!$I$6</f>
        <v>16842463.777228836</v>
      </c>
      <c r="I17" s="909">
        <f>I10/'Price Deflator'!$I$6</f>
        <v>0</v>
      </c>
      <c r="J17" s="909">
        <f>J10/'Price Deflator'!$I$6</f>
        <v>0</v>
      </c>
      <c r="K17" s="909">
        <f>K10/'Price Deflator'!$I$6</f>
        <v>0</v>
      </c>
      <c r="L17" s="909">
        <f>L10/'Price Deflator'!$I$6</f>
        <v>0</v>
      </c>
      <c r="M17" s="909">
        <f>M10/'Price Deflator'!$I$6</f>
        <v>0</v>
      </c>
      <c r="N17" s="909">
        <f>N10/'Price Deflator'!$I$6</f>
        <v>0</v>
      </c>
      <c r="O17" s="909">
        <f>O10/'Price Deflator'!$I$6</f>
        <v>0</v>
      </c>
      <c r="P17" s="909">
        <f>P10/'Price Deflator'!$I$6</f>
        <v>0</v>
      </c>
      <c r="Q17" s="909">
        <f>Q10/'Price Deflator'!$I$6</f>
        <v>0</v>
      </c>
      <c r="R17" s="909">
        <f>R10/'Price Deflator'!$I$6</f>
        <v>0</v>
      </c>
      <c r="S17" s="909">
        <f>S10/'Price Deflator'!$I$6</f>
        <v>0</v>
      </c>
      <c r="T17" s="909">
        <f>T10/'Price Deflator'!$I$6</f>
        <v>0</v>
      </c>
      <c r="U17" s="909">
        <f>U10/'Price Deflator'!$I$6</f>
        <v>0</v>
      </c>
      <c r="V17" s="909">
        <f>V10/'Price Deflator'!$I$6</f>
        <v>0</v>
      </c>
      <c r="W17" s="909">
        <f>W10/'Price Deflator'!$I$6</f>
        <v>0</v>
      </c>
      <c r="X17" s="909">
        <f>X10/'Price Deflator'!$I$6</f>
        <v>0</v>
      </c>
      <c r="Y17" s="909">
        <f>Y10/'Price Deflator'!$I$6</f>
        <v>0</v>
      </c>
      <c r="Z17" s="909">
        <f>Z10/'Price Deflator'!$I$6</f>
        <v>0</v>
      </c>
      <c r="AA17" s="909">
        <f>AA10/'Price Deflator'!$I$6</f>
        <v>0</v>
      </c>
      <c r="AB17" s="909">
        <f>AB10/'Price Deflator'!$I$6</f>
        <v>0</v>
      </c>
      <c r="AC17" s="909">
        <f>AC10/'Price Deflator'!$I$6</f>
        <v>0</v>
      </c>
      <c r="AD17" s="909">
        <f>AD10/'Price Deflator'!$I$6</f>
        <v>0</v>
      </c>
      <c r="AE17" s="909">
        <f>AE10/'Price Deflator'!$I$6</f>
        <v>0</v>
      </c>
      <c r="AF17" s="909">
        <f>AF10/'Price Deflator'!$I$6</f>
        <v>0</v>
      </c>
      <c r="AG17" s="909">
        <f>AG10/'Price Deflator'!$I$6</f>
        <v>0</v>
      </c>
      <c r="AH17" s="909">
        <f>AH10/'Price Deflator'!$I$6</f>
        <v>0</v>
      </c>
      <c r="AI17" s="909">
        <f>AI10/'Price Deflator'!$I$6</f>
        <v>0</v>
      </c>
      <c r="AJ17" s="909">
        <f>AJ10/'Price Deflator'!$I$6</f>
        <v>0</v>
      </c>
      <c r="AK17" s="909">
        <f>AK10/'Price Deflator'!$I$6</f>
        <v>0</v>
      </c>
      <c r="AL17" s="909">
        <f>AL10/'Price Deflator'!$I$6</f>
        <v>0</v>
      </c>
      <c r="AM17" s="909">
        <f>AM10/'Price Deflator'!$I$6</f>
        <v>0</v>
      </c>
    </row>
    <row r="18" spans="2:39" x14ac:dyDescent="0.25">
      <c r="B18" s="640" t="s">
        <v>681</v>
      </c>
      <c r="C18" s="908">
        <f t="shared" si="32"/>
        <v>73459128.138333708</v>
      </c>
      <c r="D18" s="910">
        <f>SUM(D14:D17)*$C$20</f>
        <v>0</v>
      </c>
      <c r="E18" s="910">
        <f t="shared" ref="E18:AM18" si="33">SUM(E14:E17)*$C$20</f>
        <v>7378880.215584999</v>
      </c>
      <c r="F18" s="910">
        <f t="shared" si="33"/>
        <v>16857008.219178084</v>
      </c>
      <c r="G18" s="910">
        <f t="shared" si="33"/>
        <v>22095431.394565463</v>
      </c>
      <c r="H18" s="910">
        <f t="shared" si="33"/>
        <v>21215492.656635977</v>
      </c>
      <c r="I18" s="910">
        <f t="shared" si="33"/>
        <v>5912315.6523691891</v>
      </c>
      <c r="J18" s="910">
        <f t="shared" si="33"/>
        <v>0</v>
      </c>
      <c r="K18" s="910">
        <f t="shared" si="33"/>
        <v>0</v>
      </c>
      <c r="L18" s="910">
        <f t="shared" si="33"/>
        <v>0</v>
      </c>
      <c r="M18" s="910">
        <f t="shared" si="33"/>
        <v>0</v>
      </c>
      <c r="N18" s="910">
        <f t="shared" si="33"/>
        <v>0</v>
      </c>
      <c r="O18" s="910">
        <f t="shared" si="33"/>
        <v>0</v>
      </c>
      <c r="P18" s="910">
        <f t="shared" si="33"/>
        <v>0</v>
      </c>
      <c r="Q18" s="910">
        <f t="shared" si="33"/>
        <v>0</v>
      </c>
      <c r="R18" s="910">
        <f t="shared" si="33"/>
        <v>0</v>
      </c>
      <c r="S18" s="910">
        <f t="shared" si="33"/>
        <v>0</v>
      </c>
      <c r="T18" s="910">
        <f t="shared" si="33"/>
        <v>0</v>
      </c>
      <c r="U18" s="910">
        <f t="shared" si="33"/>
        <v>0</v>
      </c>
      <c r="V18" s="910">
        <f t="shared" si="33"/>
        <v>0</v>
      </c>
      <c r="W18" s="910">
        <f t="shared" si="33"/>
        <v>0</v>
      </c>
      <c r="X18" s="910">
        <f t="shared" si="33"/>
        <v>0</v>
      </c>
      <c r="Y18" s="910">
        <f t="shared" si="33"/>
        <v>0</v>
      </c>
      <c r="Z18" s="910">
        <f t="shared" si="33"/>
        <v>0</v>
      </c>
      <c r="AA18" s="910">
        <f t="shared" si="33"/>
        <v>0</v>
      </c>
      <c r="AB18" s="910">
        <f t="shared" si="33"/>
        <v>0</v>
      </c>
      <c r="AC18" s="910">
        <f t="shared" si="33"/>
        <v>0</v>
      </c>
      <c r="AD18" s="910">
        <f t="shared" si="33"/>
        <v>0</v>
      </c>
      <c r="AE18" s="910">
        <f t="shared" si="33"/>
        <v>0</v>
      </c>
      <c r="AF18" s="910">
        <f t="shared" si="33"/>
        <v>0</v>
      </c>
      <c r="AG18" s="910">
        <f t="shared" si="33"/>
        <v>0</v>
      </c>
      <c r="AH18" s="910">
        <f t="shared" si="33"/>
        <v>0</v>
      </c>
      <c r="AI18" s="910">
        <f t="shared" si="33"/>
        <v>0</v>
      </c>
      <c r="AJ18" s="910">
        <f t="shared" si="33"/>
        <v>0</v>
      </c>
      <c r="AK18" s="910">
        <f t="shared" si="33"/>
        <v>0</v>
      </c>
      <c r="AL18" s="910">
        <f t="shared" si="33"/>
        <v>0</v>
      </c>
      <c r="AM18" s="910">
        <f t="shared" si="33"/>
        <v>0</v>
      </c>
    </row>
    <row r="19" spans="2:39" x14ac:dyDescent="0.25">
      <c r="D19" s="675"/>
      <c r="E19" s="675"/>
      <c r="F19" s="675"/>
      <c r="G19" s="675"/>
      <c r="H19" s="675"/>
      <c r="I19" s="675"/>
      <c r="J19" s="675"/>
    </row>
    <row r="20" spans="2:39" x14ac:dyDescent="0.25">
      <c r="B20" s="646" t="s">
        <v>547</v>
      </c>
      <c r="C20" s="649">
        <v>1</v>
      </c>
      <c r="D20" s="675"/>
      <c r="E20" s="675"/>
      <c r="F20" s="675"/>
      <c r="G20" s="675"/>
      <c r="H20" s="675"/>
      <c r="I20" s="675"/>
      <c r="J20" s="675"/>
    </row>
    <row r="21" spans="2:39" x14ac:dyDescent="0.25">
      <c r="C21" s="1119"/>
      <c r="D21" s="675"/>
      <c r="E21" s="675"/>
      <c r="F21" s="675"/>
      <c r="G21" s="675"/>
      <c r="H21" s="675"/>
      <c r="I21" s="675"/>
      <c r="J21" s="675"/>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vt:i4>
      </vt:variant>
    </vt:vector>
  </HeadingPairs>
  <TitlesOfParts>
    <vt:vector size="34" baseType="lpstr">
      <vt:lpstr>Disclaimer</vt:lpstr>
      <vt:lpstr>Results</vt:lpstr>
      <vt:lpstr>Reporting Tab</vt:lpstr>
      <vt:lpstr>Sensitivity Analysis</vt:lpstr>
      <vt:lpstr>Assumptions</vt:lpstr>
      <vt:lpstr>Emission Tab</vt:lpstr>
      <vt:lpstr>Damage Costs - Road</vt:lpstr>
      <vt:lpstr>Damage Costs - Rail</vt:lpstr>
      <vt:lpstr>Project Costs</vt:lpstr>
      <vt:lpstr>Demand Forecast</vt:lpstr>
      <vt:lpstr>Avoided Freight Train Delay </vt:lpstr>
      <vt:lpstr>Avoided Lost Train Services</vt:lpstr>
      <vt:lpstr>Reduced Travel Time </vt:lpstr>
      <vt:lpstr>Operating Cost Savings</vt:lpstr>
      <vt:lpstr>Safety</vt:lpstr>
      <vt:lpstr>Emissions</vt:lpstr>
      <vt:lpstr>Residual Value </vt:lpstr>
      <vt:lpstr>ACCIDENT COSTS</vt:lpstr>
      <vt:lpstr>VALUE OF TIME</vt:lpstr>
      <vt:lpstr>EMISSION COSTS</vt:lpstr>
      <vt:lpstr>FUEL COSTS</vt:lpstr>
      <vt:lpstr>OTHER VEHICLE COSTS</vt:lpstr>
      <vt:lpstr>MISCELLANEOUS</vt:lpstr>
      <vt:lpstr>Vehicle.Em</vt:lpstr>
      <vt:lpstr>Emission.Raw</vt:lpstr>
      <vt:lpstr>INFLATION ADJUSTMENT</vt:lpstr>
      <vt:lpstr>PRICES AND ECI</vt:lpstr>
      <vt:lpstr>Price Deflator</vt:lpstr>
      <vt:lpstr>TON CONVERSION</vt:lpstr>
      <vt:lpstr>Client.Name</vt:lpstr>
      <vt:lpstr>days_year</vt:lpstr>
      <vt:lpstr>grams_ton</vt:lpstr>
      <vt:lpstr>hours_day</vt:lpstr>
      <vt:lpstr>Project.Name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2019-07-12T20:27:45Z</dcterms:modified>
</cp:coreProperties>
</file>